
<file path=[Content_Types].xml><?xml version="1.0" encoding="utf-8"?>
<Types xmlns="http://schemas.openxmlformats.org/package/2006/content-types">
  <Default Extension="vml" ContentType="application/vnd.openxmlformats-officedocument.vmlDrawing"/>
  <Default Extension="bin" ContentType="application/vnd.openxmlformats-officedocument.oleObject"/>
  <Default Extension="jpeg" ContentType="image/jpeg"/>
  <Default Extension="JPG" ContentType="image/.jpg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180" firstSheet="8" activeTab="16"/>
  </bookViews>
  <sheets>
    <sheet name="院（部）汇总" sheetId="16" r:id="rId1"/>
    <sheet name="光明眼科学院" sheetId="1" r:id="rId2"/>
    <sheet name="护理学院" sheetId="2" r:id="rId3"/>
    <sheet name="基础医学院" sheetId="3" r:id="rId4"/>
    <sheet name="健康管理学院" sheetId="4" r:id="rId5"/>
    <sheet name="康复医学院" sheetId="5" r:id="rId6"/>
    <sheet name="口腔技术学院" sheetId="6" r:id="rId7"/>
    <sheet name="临床学院" sheetId="7" r:id="rId8"/>
    <sheet name="马克思主义学院" sheetId="8" r:id="rId9"/>
    <sheet name="实验教学中心" sheetId="9" r:id="rId10"/>
    <sheet name="体育部" sheetId="10" r:id="rId11"/>
    <sheet name="外国语学院" sheetId="11" r:id="rId12"/>
    <sheet name="药学院" sheetId="12" r:id="rId13"/>
    <sheet name="医学检验学院" sheetId="13" r:id="rId14"/>
    <sheet name="医学影像学院" sheetId="14" r:id="rId15"/>
    <sheet name="医工学院" sheetId="15" r:id="rId16"/>
    <sheet name="生科院" sheetId="17" r:id="rId1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B13A346C73EB43C5B24C9685042D4DE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74125" y="1140460"/>
          <a:ext cx="2773680" cy="3535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91A7D512D6F1456D92AA3F126C7197CA" descr="ce8fa89b-f2ad-4dca-8cdf-8c722b6bef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60210" y="2519680"/>
          <a:ext cx="5287010" cy="2895600"/>
        </a:xfrm>
        <a:prstGeom prst="rect">
          <a:avLst/>
        </a:prstGeom>
      </xdr:spPr>
    </xdr:pic>
  </etc:cellImage>
  <etc:cellImage>
    <xdr:pic>
      <xdr:nvPicPr>
        <xdr:cNvPr id="4" name="ID_A86B4E499E354E37B5BBC6762183E3C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874125" y="3274060"/>
          <a:ext cx="2110740" cy="2354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A321C4D2BC2D4F18B09D58F6730020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874125" y="4340860"/>
          <a:ext cx="3505200" cy="495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2F32391023F41EEA8771CB301CF7EB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74125" y="5407660"/>
          <a:ext cx="3063240" cy="300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854B3740FB2442448A762658747EDED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874125" y="8608060"/>
          <a:ext cx="3070860" cy="3543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8DE9FEAE87284C0AAA2C34378A72D3C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74125" y="6474460"/>
          <a:ext cx="2282190" cy="10598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51A340CCF91C4D09996AE99926E1877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717530" y="6474460"/>
          <a:ext cx="6126480" cy="297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38865E0040A24F12AC4B685FC13422C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874125" y="10741660"/>
          <a:ext cx="3238500" cy="4419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327C2E5D953349ED98D3B3136092F36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910705" y="12021820"/>
          <a:ext cx="6583680" cy="487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2F5EE259F4F440ED8CA34527A461A67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264525" y="12959080"/>
          <a:ext cx="6576060" cy="2964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039C9BDA0EF3404F8C57462EE46F81BC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624445" y="15031720"/>
          <a:ext cx="6621780" cy="4632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0E78DCABC09A4F15BC2B386C320D268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055100" y="14010640"/>
          <a:ext cx="5173980" cy="2659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6199BEFC203F4160951F32E3458C6A7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74125" y="16075660"/>
          <a:ext cx="3505200" cy="4526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75180B4687934A7B8F5E83D9B460049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932035" y="8608060"/>
          <a:ext cx="7071360" cy="4808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E8DBA5BFA8A419A9FCF41AFB96314A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932035" y="10741660"/>
          <a:ext cx="297180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94A5C177038547508527261C90DA10A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932035" y="18209260"/>
          <a:ext cx="5768340" cy="2118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FA71FD8FE0E74495952C485E1038629D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932035" y="19276060"/>
          <a:ext cx="4838700" cy="2506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840E291EB2CD42FEBE6E3EDF30A4C548" descr="core_image_url__exec_download_3673042907"/>
        <xdr:cNvPicPr/>
      </xdr:nvPicPr>
      <xdr:blipFill>
        <a:blip r:embed="rId19"/>
        <a:stretch>
          <a:fillRect/>
        </a:stretch>
      </xdr:blipFill>
      <xdr:spPr>
        <a:xfrm>
          <a:off x="0" y="0"/>
          <a:ext cx="7547610" cy="10058400"/>
        </a:xfrm>
        <a:prstGeom prst="rect">
          <a:avLst/>
        </a:prstGeom>
      </xdr:spPr>
    </xdr:pic>
  </etc:cellImage>
  <etc:cellImage>
    <xdr:pic>
      <xdr:nvPicPr>
        <xdr:cNvPr id="29" name="ID_5F970F79F7A748CDB8C36A8919E1EE0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982325" y="4273550"/>
          <a:ext cx="13716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72D5D8FD23404F28A7D90537DDF9BF8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934700" y="3806825"/>
          <a:ext cx="1028700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B534B873D8F42FB866F18AA6CD46B6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848975" y="1898650"/>
          <a:ext cx="1028700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58D58B0F0E2F483F86A4E60AD5036C6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062210" y="1547495"/>
          <a:ext cx="1661160" cy="2186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5C07CF7FAB9F421C9BBA0031A7E1F064" descr="core_image_url__exec_download_10713949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5" name="ID_422293950C9443F68E1D200B355743C3" descr="core_image_url__exec_download_833243059"/>
        <xdr:cNvPicPr/>
      </xdr:nvPicPr>
      <xdr:blipFill>
        <a:blip r:embed="rId25"/>
        <a:stretch>
          <a:fillRect/>
        </a:stretch>
      </xdr:blipFill>
      <xdr:spPr>
        <a:xfrm>
          <a:off x="0" y="0"/>
          <a:ext cx="7547610" cy="10058400"/>
        </a:xfrm>
        <a:prstGeom prst="rect">
          <a:avLst/>
        </a:prstGeom>
      </xdr:spPr>
    </xdr:pic>
  </etc:cellImage>
  <etc:cellImage>
    <xdr:pic>
      <xdr:nvPicPr>
        <xdr:cNvPr id="26" name="ID_865ED975A9A749EC9101EE1C9F08E87A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956685" y="7111365"/>
          <a:ext cx="24384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F10147FAF889440EBBF9D3B81F918594" descr="c9fe65ad8a48289afb9aacf55580e218_origin(1)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222240" y="7184390"/>
          <a:ext cx="7536815" cy="9921240"/>
        </a:xfrm>
        <a:prstGeom prst="rect">
          <a:avLst/>
        </a:prstGeom>
      </xdr:spPr>
    </xdr:pic>
  </etc:cellImage>
  <etc:cellImage>
    <xdr:pic>
      <xdr:nvPicPr>
        <xdr:cNvPr id="28" name="ID_D51215554BEE4F32A89E28F8503AAFD2" descr="upload_post_object_v2_4056756693"/>
        <xdr:cNvPicPr/>
      </xdr:nvPicPr>
      <xdr:blipFill>
        <a:blip r:embed="rId28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0" name="ID_8971F28D447B4AECA316B40F3231B213" descr="upload_post_object_v2_1605288266"/>
        <xdr:cNvPicPr/>
      </xdr:nvPicPr>
      <xdr:blipFill>
        <a:blip r:embed="rId29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1" name="ID_140CB0D6955A47EFA71BE0DFCE3500D5" descr="upload_post_object_v2_3906870982"/>
        <xdr:cNvPicPr/>
      </xdr:nvPicPr>
      <xdr:blipFill>
        <a:blip r:embed="rId30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2" name="ID_491523B31BB94BE08E98E2D857298FBC" descr="core_image_url__exec_download_2699942269"/>
        <xdr:cNvPicPr/>
      </xdr:nvPicPr>
      <xdr:blipFill>
        <a:blip r:embed="rId31"/>
        <a:stretch>
          <a:fillRect/>
        </a:stretch>
      </xdr:blipFill>
      <xdr:spPr>
        <a:xfrm>
          <a:off x="0" y="0"/>
          <a:ext cx="7547610" cy="10058400"/>
        </a:xfrm>
        <a:prstGeom prst="rect">
          <a:avLst/>
        </a:prstGeom>
      </xdr:spPr>
    </xdr:pic>
  </etc:cellImage>
  <etc:cellImage>
    <xdr:pic>
      <xdr:nvPicPr>
        <xdr:cNvPr id="33" name="ID_1AA2DFC453E1483B8532C023245CCA69" descr="upload_post_object_v2_1514925996"/>
        <xdr:cNvPicPr/>
      </xdr:nvPicPr>
      <xdr:blipFill>
        <a:blip r:embed="rId32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4" name="ID_34393A4F16F641FB9D98BF4F63FC4421" descr="upload_post_object_v2_803341544"/>
        <xdr:cNvPicPr/>
      </xdr:nvPicPr>
      <xdr:blipFill>
        <a:blip r:embed="rId33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5" name="ID_D588F52EF3F546E4BBB560C23026561D" descr="upload_post_object_v2_4159769529"/>
        <xdr:cNvPicPr/>
      </xdr:nvPicPr>
      <xdr:blipFill>
        <a:blip r:embed="rId34"/>
        <a:stretch>
          <a:fillRect/>
        </a:stretch>
      </xdr:blipFill>
      <xdr:spPr>
        <a:xfrm>
          <a:off x="0" y="0"/>
          <a:ext cx="9144000" cy="6858000"/>
        </a:xfrm>
        <a:prstGeom prst="rect">
          <a:avLst/>
        </a:prstGeom>
      </xdr:spPr>
    </xdr:pic>
  </etc:cellImage>
  <etc:cellImage>
    <xdr:pic>
      <xdr:nvPicPr>
        <xdr:cNvPr id="36" name="ID_12CB2C1C582B40A89203AE5D3B4DACBA" descr="upload_post_object_v2_3633852763"/>
        <xdr:cNvPicPr/>
      </xdr:nvPicPr>
      <xdr:blipFill>
        <a:blip r:embed="rId35"/>
        <a:stretch>
          <a:fillRect/>
        </a:stretch>
      </xdr:blipFill>
      <xdr:spPr>
        <a:xfrm>
          <a:off x="0" y="0"/>
          <a:ext cx="9144000" cy="6858000"/>
        </a:xfrm>
        <a:prstGeom prst="rect">
          <a:avLst/>
        </a:prstGeom>
      </xdr:spPr>
    </xdr:pic>
  </etc:cellImage>
  <etc:cellImage>
    <xdr:pic>
      <xdr:nvPicPr>
        <xdr:cNvPr id="37" name="ID_ED7B05A790A444B6B8945CC437CCAA1C" descr="upload_post_object_v2_2281216331"/>
        <xdr:cNvPicPr/>
      </xdr:nvPicPr>
      <xdr:blipFill>
        <a:blip r:embed="rId36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8" name="ID_8D7DDA2F8E924D9186887F532EDDC5FC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302750" y="6394450"/>
          <a:ext cx="18288000" cy="2438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372142F8109947109FD899E67B9EE6CB" descr="upload_post_object_v2_4128982722"/>
        <xdr:cNvPicPr/>
      </xdr:nvPicPr>
      <xdr:blipFill>
        <a:blip r:embed="rId38"/>
        <a:stretch>
          <a:fillRect/>
        </a:stretch>
      </xdr:blipFill>
      <xdr:spPr>
        <a:xfrm>
          <a:off x="0" y="0"/>
          <a:ext cx="9144000" cy="6858000"/>
        </a:xfrm>
        <a:prstGeom prst="rect">
          <a:avLst/>
        </a:prstGeom>
      </xdr:spPr>
    </xdr:pic>
  </etc:cellImage>
  <etc:cellImage>
    <xdr:pic>
      <xdr:nvPicPr>
        <xdr:cNvPr id="40" name="ID_7415006C672E469A982A8F5BAD581368" descr="20763a95ea1552a142ccff90886fe2f6_origin(1)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327650" y="7334250"/>
          <a:ext cx="7526655" cy="9899650"/>
        </a:xfrm>
        <a:prstGeom prst="rect">
          <a:avLst/>
        </a:prstGeom>
      </xdr:spPr>
    </xdr:pic>
  </etc:cellImage>
  <etc:cellImage>
    <xdr:pic>
      <xdr:nvPicPr>
        <xdr:cNvPr id="41" name="ID_3BE5B7245B514A76B49B1CC5F6CEDDD0" descr="a92437c7de95caa003b8526a069bccc7_origin(1)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488815" y="9018905"/>
          <a:ext cx="10062210" cy="7408545"/>
        </a:xfrm>
        <a:prstGeom prst="rect">
          <a:avLst/>
        </a:prstGeom>
      </xdr:spPr>
    </xdr:pic>
  </etc:cellImage>
  <etc:cellImage>
    <xdr:pic>
      <xdr:nvPicPr>
        <xdr:cNvPr id="42" name="ID_3037B8BE6F8B4B51BDF5737EF40B6242" descr="upload_post_object_v2_3535414427"/>
        <xdr:cNvPicPr/>
      </xdr:nvPicPr>
      <xdr:blipFill>
        <a:blip r:embed="rId41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43" name="ID_E9050988DA5C42B7BEC27C2F3EDD78C1" descr="upload_post_object_v2_278418314"/>
        <xdr:cNvPicPr/>
      </xdr:nvPicPr>
      <xdr:blipFill>
        <a:blip r:embed="rId42"/>
        <a:stretch>
          <a:fillRect/>
        </a:stretch>
      </xdr:blipFill>
      <xdr:spPr>
        <a:xfrm>
          <a:off x="0" y="0"/>
          <a:ext cx="9144000" cy="6858000"/>
        </a:xfrm>
        <a:prstGeom prst="rect">
          <a:avLst/>
        </a:prstGeom>
      </xdr:spPr>
    </xdr:pic>
  </etc:cellImage>
  <etc:cellImage>
    <xdr:pic>
      <xdr:nvPicPr>
        <xdr:cNvPr id="44" name="ID_8E186484167E40E99ACF19C25DE02B53" descr="core_image_url__exec_download_1253024682"/>
        <xdr:cNvPicPr/>
      </xdr:nvPicPr>
      <xdr:blipFill>
        <a:blip r:embed="rId43"/>
        <a:stretch>
          <a:fillRect/>
        </a:stretch>
      </xdr:blipFill>
      <xdr:spPr>
        <a:xfrm>
          <a:off x="0" y="0"/>
          <a:ext cx="4643120" cy="10058400"/>
        </a:xfrm>
        <a:prstGeom prst="rect">
          <a:avLst/>
        </a:prstGeom>
      </xdr:spPr>
    </xdr:pic>
  </etc:cellImage>
  <etc:cellImage>
    <xdr:pic>
      <xdr:nvPicPr>
        <xdr:cNvPr id="45" name="ID_9F9C76F768744E25B557C2964C283AE6" descr="upload_post_object_v2_1566535176"/>
        <xdr:cNvPicPr/>
      </xdr:nvPicPr>
      <xdr:blipFill>
        <a:blip r:embed="rId44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46" name="ID_C71803BC652E4B6FA5F3AC35BBB007F2" descr="upload_post_object_v2_2591552813"/>
        <xdr:cNvPicPr/>
      </xdr:nvPicPr>
      <xdr:blipFill>
        <a:blip r:embed="rId45"/>
        <a:stretch>
          <a:fillRect/>
        </a:stretch>
      </xdr:blipFill>
      <xdr:spPr>
        <a:xfrm>
          <a:off x="0" y="0"/>
          <a:ext cx="9144000" cy="6858000"/>
        </a:xfrm>
        <a:prstGeom prst="rect">
          <a:avLst/>
        </a:prstGeom>
      </xdr:spPr>
    </xdr:pic>
  </etc:cellImage>
  <etc:cellImage>
    <xdr:pic>
      <xdr:nvPicPr>
        <xdr:cNvPr id="47" name="ID_1C5ACD934799492F9299DC49F52967AD" descr="院系公告栏"/>
        <xdr:cNvPicPr/>
      </xdr:nvPicPr>
      <xdr:blipFill>
        <a:blip r:embed="rId46"/>
        <a:stretch>
          <a:fillRect/>
        </a:stretch>
      </xdr:blipFill>
      <xdr:spPr>
        <a:xfrm>
          <a:off x="0" y="0"/>
          <a:ext cx="10058400" cy="4833620"/>
        </a:xfrm>
        <a:prstGeom prst="rect">
          <a:avLst/>
        </a:prstGeom>
      </xdr:spPr>
    </xdr:pic>
  </etc:cellImage>
  <etc:cellImage>
    <xdr:pic>
      <xdr:nvPicPr>
        <xdr:cNvPr id="48" name="ID_073601AA5B68496285F3C6A699BFAEB6" descr="通道配示意图"/>
        <xdr:cNvPicPr/>
      </xdr:nvPicPr>
      <xdr:blipFill>
        <a:blip r:embed="rId47"/>
        <a:stretch>
          <a:fillRect/>
        </a:stretch>
      </xdr:blipFill>
      <xdr:spPr>
        <a:xfrm>
          <a:off x="0" y="0"/>
          <a:ext cx="9906000" cy="6329045"/>
        </a:xfrm>
        <a:prstGeom prst="rect">
          <a:avLst/>
        </a:prstGeom>
      </xdr:spPr>
    </xdr:pic>
  </etc:cellImage>
  <etc:cellImage>
    <xdr:pic>
      <xdr:nvPicPr>
        <xdr:cNvPr id="49" name="ID_E1F70279333B419FA7D9515DEA6E62FB" descr="安全信息"/>
        <xdr:cNvPicPr/>
      </xdr:nvPicPr>
      <xdr:blipFill>
        <a:blip r:embed="rId48"/>
        <a:stretch>
          <a:fillRect/>
        </a:stretch>
      </xdr:blipFill>
      <xdr:spPr>
        <a:xfrm>
          <a:off x="0" y="0"/>
          <a:ext cx="6200775" cy="3238500"/>
        </a:xfrm>
        <a:prstGeom prst="rect">
          <a:avLst/>
        </a:prstGeom>
      </xdr:spPr>
    </xdr:pic>
  </etc:cellImage>
  <etc:cellImage>
    <xdr:pic>
      <xdr:nvPicPr>
        <xdr:cNvPr id="50" name="ID_15A3DC2EE7AE4DB198B77EE7BA25682A" descr="院系简介"/>
        <xdr:cNvPicPr/>
      </xdr:nvPicPr>
      <xdr:blipFill>
        <a:blip r:embed="rId49"/>
        <a:stretch>
          <a:fillRect/>
        </a:stretch>
      </xdr:blipFill>
      <xdr:spPr>
        <a:xfrm>
          <a:off x="0" y="0"/>
          <a:ext cx="7981950" cy="4128770"/>
        </a:xfrm>
        <a:prstGeom prst="rect">
          <a:avLst/>
        </a:prstGeom>
      </xdr:spPr>
    </xdr:pic>
  </etc:cellImage>
  <etc:cellImage>
    <xdr:pic>
      <xdr:nvPicPr>
        <xdr:cNvPr id="51" name="ID_6BF584D54BA84C5D8D03CFC14650FA5D" descr="制度牌"/>
        <xdr:cNvPicPr/>
      </xdr:nvPicPr>
      <xdr:blipFill>
        <a:blip r:embed="rId50"/>
        <a:stretch>
          <a:fillRect/>
        </a:stretch>
      </xdr:blipFill>
      <xdr:spPr>
        <a:xfrm>
          <a:off x="0" y="0"/>
          <a:ext cx="9133205" cy="10058400"/>
        </a:xfrm>
        <a:prstGeom prst="rect">
          <a:avLst/>
        </a:prstGeom>
      </xdr:spPr>
    </xdr:pic>
  </etc:cellImage>
  <etc:cellImage>
    <xdr:pic>
      <xdr:nvPicPr>
        <xdr:cNvPr id="52" name="ID_812EEA0518BC4CBEB3A7F6A84BA6EF0D" descr="实验室门牌"/>
        <xdr:cNvPicPr/>
      </xdr:nvPicPr>
      <xdr:blipFill>
        <a:blip r:embed="rId51"/>
        <a:stretch>
          <a:fillRect/>
        </a:stretch>
      </xdr:blipFill>
      <xdr:spPr>
        <a:xfrm>
          <a:off x="0" y="0"/>
          <a:ext cx="9096375" cy="8643620"/>
        </a:xfrm>
        <a:prstGeom prst="rect">
          <a:avLst/>
        </a:prstGeom>
      </xdr:spPr>
    </xdr:pic>
  </etc:cellImage>
  <etc:cellImage>
    <xdr:pic>
      <xdr:nvPicPr>
        <xdr:cNvPr id="53" name="ID_00A4F9DF39FF47F5A1CCED03D8FC6C4E" descr="专业介绍展板"/>
        <xdr:cNvPicPr/>
      </xdr:nvPicPr>
      <xdr:blipFill>
        <a:blip r:embed="rId52"/>
        <a:stretch>
          <a:fillRect/>
        </a:stretch>
      </xdr:blipFill>
      <xdr:spPr>
        <a:xfrm>
          <a:off x="0" y="0"/>
          <a:ext cx="10058400" cy="5564505"/>
        </a:xfrm>
        <a:prstGeom prst="rect">
          <a:avLst/>
        </a:prstGeom>
      </xdr:spPr>
    </xdr:pic>
  </etc:cellImage>
  <etc:cellImage>
    <xdr:pic>
      <xdr:nvPicPr>
        <xdr:cNvPr id="54" name="ID_E0901AD0811A40C68EB746B0B5AAEC97" descr="优秀教师简介"/>
        <xdr:cNvPicPr/>
      </xdr:nvPicPr>
      <xdr:blipFill>
        <a:blip r:embed="rId53"/>
        <a:stretch>
          <a:fillRect/>
        </a:stretch>
      </xdr:blipFill>
      <xdr:spPr>
        <a:xfrm>
          <a:off x="0" y="0"/>
          <a:ext cx="10058400" cy="4780915"/>
        </a:xfrm>
        <a:prstGeom prst="rect">
          <a:avLst/>
        </a:prstGeom>
      </xdr:spPr>
    </xdr:pic>
  </etc:cellImage>
  <etc:cellImage>
    <xdr:pic>
      <xdr:nvPicPr>
        <xdr:cNvPr id="55" name="ID_4F9AB81A194E4F918DD617E63301ACC5" descr="名人文化牌"/>
        <xdr:cNvPicPr/>
      </xdr:nvPicPr>
      <xdr:blipFill>
        <a:blip r:embed="rId54"/>
        <a:stretch>
          <a:fillRect/>
        </a:stretch>
      </xdr:blipFill>
      <xdr:spPr>
        <a:xfrm>
          <a:off x="0" y="0"/>
          <a:ext cx="8150225" cy="10058400"/>
        </a:xfrm>
        <a:prstGeom prst="rect">
          <a:avLst/>
        </a:prstGeom>
      </xdr:spPr>
    </xdr:pic>
  </etc:cellImage>
  <etc:cellImage>
    <xdr:pic>
      <xdr:nvPicPr>
        <xdr:cNvPr id="56" name="ID_1E7ECA8356794EBC8EC3799D0E75604E" descr="楼道导引牌"/>
        <xdr:cNvPicPr/>
      </xdr:nvPicPr>
      <xdr:blipFill>
        <a:blip r:embed="rId55"/>
        <a:stretch>
          <a:fillRect/>
        </a:stretch>
      </xdr:blipFill>
      <xdr:spPr>
        <a:xfrm>
          <a:off x="0" y="0"/>
          <a:ext cx="10058400" cy="2737485"/>
        </a:xfrm>
        <a:prstGeom prst="rect">
          <a:avLst/>
        </a:prstGeom>
      </xdr:spPr>
    </xdr:pic>
  </etc:cellImage>
  <etc:cellImage>
    <xdr:pic>
      <xdr:nvPicPr>
        <xdr:cNvPr id="57" name="ID_F58E9B04098245AEAC96D6BBE266E32E" descr="引导牌"/>
        <xdr:cNvPicPr/>
      </xdr:nvPicPr>
      <xdr:blipFill>
        <a:blip r:embed="rId56"/>
        <a:stretch>
          <a:fillRect/>
        </a:stretch>
      </xdr:blipFill>
      <xdr:spPr>
        <a:xfrm>
          <a:off x="0" y="0"/>
          <a:ext cx="3946525" cy="10058400"/>
        </a:xfrm>
        <a:prstGeom prst="rect">
          <a:avLst/>
        </a:prstGeom>
      </xdr:spPr>
    </xdr:pic>
  </etc:cellImage>
  <etc:cellImage>
    <xdr:pic>
      <xdr:nvPicPr>
        <xdr:cNvPr id="58" name="ID_6AC16F3C206443BCA31ED660D35FED22" descr="禁止吸烟"/>
        <xdr:cNvPicPr/>
      </xdr:nvPicPr>
      <xdr:blipFill>
        <a:blip r:embed="rId57"/>
        <a:stretch>
          <a:fillRect/>
        </a:stretch>
      </xdr:blipFill>
      <xdr:spPr>
        <a:xfrm>
          <a:off x="0" y="0"/>
          <a:ext cx="3762375" cy="4824095"/>
        </a:xfrm>
        <a:prstGeom prst="rect">
          <a:avLst/>
        </a:prstGeom>
      </xdr:spPr>
    </xdr:pic>
  </etc:cellImage>
  <etc:cellImage>
    <xdr:pic>
      <xdr:nvPicPr>
        <xdr:cNvPr id="59" name="ID_1F02158E415445C7B9F3ED9438813553" descr="报警电话"/>
        <xdr:cNvPicPr/>
      </xdr:nvPicPr>
      <xdr:blipFill>
        <a:blip r:embed="rId58"/>
        <a:stretch>
          <a:fillRect/>
        </a:stretch>
      </xdr:blipFill>
      <xdr:spPr>
        <a:xfrm>
          <a:off x="0" y="0"/>
          <a:ext cx="5819775" cy="3810000"/>
        </a:xfrm>
        <a:prstGeom prst="rect">
          <a:avLst/>
        </a:prstGeom>
      </xdr:spPr>
    </xdr:pic>
  </etc:cellImage>
  <etc:cellImage>
    <xdr:pic>
      <xdr:nvPicPr>
        <xdr:cNvPr id="60" name="ID_ECF306D5BC6D49F6BB5018C8E340BECD" descr="温馨提示牌"/>
        <xdr:cNvPicPr/>
      </xdr:nvPicPr>
      <xdr:blipFill>
        <a:blip r:embed="rId59"/>
        <a:stretch>
          <a:fillRect/>
        </a:stretch>
      </xdr:blipFill>
      <xdr:spPr>
        <a:xfrm>
          <a:off x="0" y="0"/>
          <a:ext cx="4319270" cy="2919095"/>
        </a:xfrm>
        <a:prstGeom prst="rect">
          <a:avLst/>
        </a:prstGeom>
      </xdr:spPr>
    </xdr:pic>
  </etc:cellImage>
  <etc:cellImage>
    <xdr:pic>
      <xdr:nvPicPr>
        <xdr:cNvPr id="61" name="ID_4E149A25271C4A91B670DFA7783C7C4C" descr="无烟校园"/>
        <xdr:cNvPicPr/>
      </xdr:nvPicPr>
      <xdr:blipFill>
        <a:blip r:embed="rId60"/>
        <a:stretch>
          <a:fillRect/>
        </a:stretch>
      </xdr:blipFill>
      <xdr:spPr>
        <a:xfrm>
          <a:off x="0" y="0"/>
          <a:ext cx="3486150" cy="6381750"/>
        </a:xfrm>
        <a:prstGeom prst="rect">
          <a:avLst/>
        </a:prstGeom>
      </xdr:spPr>
    </xdr:pic>
  </etc:cellImage>
  <etc:cellImage>
    <xdr:pic>
      <xdr:nvPicPr>
        <xdr:cNvPr id="62" name="ID_659CC33843594B24972E9C54FE87C97A" descr="48c7c0b9c93b58665ac831f386cce0e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3377545" y="30593030"/>
          <a:ext cx="782320" cy="1388110"/>
        </a:xfrm>
        <a:prstGeom prst="rect">
          <a:avLst/>
        </a:prstGeom>
      </xdr:spPr>
    </xdr:pic>
  </etc:cellImage>
  <etc:cellImage>
    <xdr:pic>
      <xdr:nvPicPr>
        <xdr:cNvPr id="63" name="ID_D28F7ECB7DFA440DAFB49F9E25E14249" descr="4f4782c689d18710b1cd22cdae3080a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3073380" y="4383405"/>
          <a:ext cx="1307465" cy="1359535"/>
        </a:xfrm>
        <a:prstGeom prst="rect">
          <a:avLst/>
        </a:prstGeom>
      </xdr:spPr>
    </xdr:pic>
  </etc:cellImage>
  <etc:cellImage>
    <xdr:pic>
      <xdr:nvPicPr>
        <xdr:cNvPr id="64" name="ID_F07E172615A1481095F1C012EE95A4DE"/>
        <xdr:cNvPicPr>
          <a:picLocks noChangeAspect="1"/>
        </xdr:cNvPicPr>
      </xdr:nvPicPr>
      <xdr:blipFill>
        <a:blip r:embed="rId63" r:link="rId64"/>
        <a:stretch>
          <a:fillRect/>
        </a:stretch>
      </xdr:blipFill>
      <xdr:spPr>
        <a:xfrm>
          <a:off x="13216255" y="1221740"/>
          <a:ext cx="850265" cy="88138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5" name="ID_D5645405DD914E8690ECBA211EED0967" descr="81edbd9db2ee3b410a85f8d323e2a79b"/>
        <xdr:cNvPicPr>
          <a:picLocks noChangeAspect="1"/>
        </xdr:cNvPicPr>
      </xdr:nvPicPr>
      <xdr:blipFill>
        <a:blip r:embed="rId65"/>
        <a:srcRect b="27233"/>
        <a:stretch>
          <a:fillRect/>
        </a:stretch>
      </xdr:blipFill>
      <xdr:spPr>
        <a:xfrm>
          <a:off x="13319760" y="7118985"/>
          <a:ext cx="1129030" cy="1465580"/>
        </a:xfrm>
        <a:prstGeom prst="rect">
          <a:avLst/>
        </a:prstGeom>
      </xdr:spPr>
    </xdr:pic>
  </etc:cellImage>
  <etc:cellImage>
    <xdr:pic>
      <xdr:nvPicPr>
        <xdr:cNvPr id="66" name="ID_CF04A30D5B7542A8B7D6D7033587DA62" descr="2ce593d35af4f339363d79622f1b8c2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 flipH="1">
          <a:off x="13147675" y="9701530"/>
          <a:ext cx="1146175" cy="1243330"/>
        </a:xfrm>
        <a:prstGeom prst="rect">
          <a:avLst/>
        </a:prstGeom>
      </xdr:spPr>
    </xdr:pic>
  </etc:cellImage>
  <etc:cellImage>
    <xdr:pic>
      <xdr:nvPicPr>
        <xdr:cNvPr id="67" name="ID_2B091F5425D74DA198D3495DB9C81C77" descr="190578027ac02bb85d804afe93c26b3c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3121005" y="20187285"/>
          <a:ext cx="734060" cy="1303655"/>
        </a:xfrm>
        <a:prstGeom prst="rect">
          <a:avLst/>
        </a:prstGeom>
      </xdr:spPr>
    </xdr:pic>
  </etc:cellImage>
  <etc:cellImage>
    <xdr:pic>
      <xdr:nvPicPr>
        <xdr:cNvPr id="68" name="ID_7A52018B5C4041FEA57AD09057F3636C" descr="9dabe5a0764779cddff74d8d1ab759cd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 flipH="1">
          <a:off x="13125450" y="18635980"/>
          <a:ext cx="1246505" cy="1415415"/>
        </a:xfrm>
        <a:prstGeom prst="rect">
          <a:avLst/>
        </a:prstGeom>
      </xdr:spPr>
    </xdr:pic>
  </etc:cellImage>
  <etc:cellImage>
    <xdr:pic>
      <xdr:nvPicPr>
        <xdr:cNvPr id="69" name="ID_6C015A885D8842389D1A0DB53CABAE00" descr="12c2a948b3c83efb48b1bb25fa28fa1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3292455" y="15458440"/>
          <a:ext cx="715010" cy="1277620"/>
        </a:xfrm>
        <a:prstGeom prst="rect">
          <a:avLst/>
        </a:prstGeom>
      </xdr:spPr>
    </xdr:pic>
  </etc:cellImage>
  <etc:cellImage>
    <xdr:pic>
      <xdr:nvPicPr>
        <xdr:cNvPr id="70" name="ID_B95BE02B90B04010BFC0B0635510C21F" descr="2b1f31b64b9a32b231e6c0944f7c393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 flipH="1">
          <a:off x="13129895" y="21765895"/>
          <a:ext cx="1266825" cy="1129030"/>
        </a:xfrm>
        <a:prstGeom prst="rect">
          <a:avLst/>
        </a:prstGeom>
      </xdr:spPr>
    </xdr:pic>
  </etc:cellImage>
  <etc:cellImage>
    <xdr:pic>
      <xdr:nvPicPr>
        <xdr:cNvPr id="71" name="ID_07FB8199F2954C2FA051DC1E8C14E491" descr="IMG_20250221_09223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1861165" y="1231265"/>
          <a:ext cx="802005" cy="1070610"/>
        </a:xfrm>
        <a:prstGeom prst="rect">
          <a:avLst/>
        </a:prstGeom>
      </xdr:spPr>
    </xdr:pic>
  </etc:cellImage>
  <etc:cellImage>
    <xdr:pic>
      <xdr:nvPicPr>
        <xdr:cNvPr id="72" name="ID_F255F4A3AA8544C3B96D998688CF5B5B" descr="实验室信息栏"/>
        <xdr:cNvPicPr/>
      </xdr:nvPicPr>
      <xdr:blipFill>
        <a:blip r:embed="rId72"/>
        <a:stretch>
          <a:fillRect/>
        </a:stretch>
      </xdr:blipFill>
      <xdr:spPr>
        <a:xfrm>
          <a:off x="0" y="0"/>
          <a:ext cx="7405370" cy="9591675"/>
        </a:xfrm>
        <a:prstGeom prst="rect">
          <a:avLst/>
        </a:prstGeom>
      </xdr:spPr>
    </xdr:pic>
  </etc:cellImage>
  <etc:cellImage>
    <xdr:pic>
      <xdr:nvPicPr>
        <xdr:cNvPr id="73" name="ID_5695841EF33E40A1B8FB9930FD872ED3" descr="注意安全"/>
        <xdr:cNvPicPr/>
      </xdr:nvPicPr>
      <xdr:blipFill>
        <a:blip r:embed="rId73"/>
        <a:stretch>
          <a:fillRect/>
        </a:stretch>
      </xdr:blipFill>
      <xdr:spPr>
        <a:xfrm>
          <a:off x="0" y="0"/>
          <a:ext cx="9982200" cy="5186045"/>
        </a:xfrm>
        <a:prstGeom prst="rect">
          <a:avLst/>
        </a:prstGeom>
      </xdr:spPr>
    </xdr:pic>
  </etc:cellImage>
  <etc:cellImage>
    <xdr:pic>
      <xdr:nvPicPr>
        <xdr:cNvPr id="74" name="ID_4DB1BC59BE754B018153B19F749D821B" descr="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1953875" y="5451475"/>
          <a:ext cx="7543800" cy="10061575"/>
        </a:xfrm>
        <a:prstGeom prst="rect">
          <a:avLst/>
        </a:prstGeom>
      </xdr:spPr>
    </xdr:pic>
  </etc:cellImage>
  <etc:cellImage>
    <xdr:pic>
      <xdr:nvPicPr>
        <xdr:cNvPr id="75" name="ID_A8AB783F5E57484BA5EB61E4DED78F3C" descr="upload_post_object_v2_4093519305"/>
        <xdr:cNvPicPr/>
      </xdr:nvPicPr>
      <xdr:blipFill>
        <a:blip r:embed="rId75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76" name="ID_0B773C5598BF4F4F809FDE1A27AAB4CB" descr="upload_post_object_v2_342608545"/>
        <xdr:cNvPicPr/>
      </xdr:nvPicPr>
      <xdr:blipFill>
        <a:blip r:embed="rId76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77" name="ID_865F380BBFFF498AA52E5D7D47DE37CE" descr="upload_post_object_v2_3225480936"/>
        <xdr:cNvPicPr/>
      </xdr:nvPicPr>
      <xdr:blipFill>
        <a:blip r:embed="rId77"/>
        <a:stretch>
          <a:fillRect/>
        </a:stretch>
      </xdr:blipFill>
      <xdr:spPr>
        <a:xfrm>
          <a:off x="0" y="0"/>
          <a:ext cx="1371600" cy="2486025"/>
        </a:xfrm>
        <a:prstGeom prst="rect">
          <a:avLst/>
        </a:prstGeom>
      </xdr:spPr>
    </xdr:pic>
  </etc:cellImage>
  <etc:cellImage>
    <xdr:pic>
      <xdr:nvPicPr>
        <xdr:cNvPr id="78" name="ID_1A8BED4F179C4DC4946318D4EE05DDDE" descr="upload_post_object_v2_1322244840"/>
        <xdr:cNvPicPr/>
      </xdr:nvPicPr>
      <xdr:blipFill>
        <a:blip r:embed="rId78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79" name="ID_55065F6CA34B4FC7B18ABC1622240147" descr="upload_post_object_v2_1768044336"/>
        <xdr:cNvPicPr/>
      </xdr:nvPicPr>
      <xdr:blipFill>
        <a:blip r:embed="rId79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80" name="ID_27CD8146DFDA41A8ABDACC98624D9AC5" descr="upload_post_object_v2_3947902878"/>
        <xdr:cNvPicPr/>
      </xdr:nvPicPr>
      <xdr:blipFill>
        <a:blip r:embed="rId80"/>
        <a:stretch>
          <a:fillRect/>
        </a:stretch>
      </xdr:blipFill>
      <xdr:spPr>
        <a:xfrm>
          <a:off x="0" y="0"/>
          <a:ext cx="1009650" cy="1143000"/>
        </a:xfrm>
        <a:prstGeom prst="rect">
          <a:avLst/>
        </a:prstGeom>
      </xdr:spPr>
    </xdr:pic>
  </etc:cellImage>
  <etc:cellImage>
    <xdr:pic>
      <xdr:nvPicPr>
        <xdr:cNvPr id="81" name="ID_0EFBBB1E39E642E18BC57C65F2CD0259" descr="upload_post_object_v2_2903962534"/>
        <xdr:cNvPicPr/>
      </xdr:nvPicPr>
      <xdr:blipFill>
        <a:blip r:embed="rId81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82" name="ID_F972AA5615F8485786E0C46497293807" descr="upload_post_object_v2_382228017"/>
        <xdr:cNvPicPr/>
      </xdr:nvPicPr>
      <xdr:blipFill>
        <a:blip r:embed="rId82"/>
        <a:stretch>
          <a:fillRect/>
        </a:stretch>
      </xdr:blipFill>
      <xdr:spPr>
        <a:xfrm>
          <a:off x="0" y="0"/>
          <a:ext cx="1714500" cy="2066925"/>
        </a:xfrm>
        <a:prstGeom prst="rect">
          <a:avLst/>
        </a:prstGeom>
      </xdr:spPr>
    </xdr:pic>
  </etc:cellImage>
  <etc:cellImage>
    <xdr:pic>
      <xdr:nvPicPr>
        <xdr:cNvPr id="83" name="ID_438B030F1624431EAB412E1CC5273799" descr="upload_post_object_v2_3313554184"/>
        <xdr:cNvPicPr/>
      </xdr:nvPicPr>
      <xdr:blipFill>
        <a:blip r:embed="rId83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84" name="ID_6A507726C7FF4000A09F71FE625114E6" descr="upload_post_object_v2_1541377299"/>
        <xdr:cNvPicPr/>
      </xdr:nvPicPr>
      <xdr:blipFill>
        <a:blip r:embed="rId84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85" name="ID_44A535C03C5F4FA7B4C3CB9936EB46F4" descr="upload_post_object_v2_1004298288"/>
        <xdr:cNvPicPr/>
      </xdr:nvPicPr>
      <xdr:blipFill>
        <a:blip r:embed="rId85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86" name="ID_052E8D592BFD429BAB1182D34BA49610" descr="upload_post_object_v2_1234702168"/>
        <xdr:cNvPicPr/>
      </xdr:nvPicPr>
      <xdr:blipFill>
        <a:blip r:embed="rId86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87" name="ID_8F1E7FC12A884E7D9A99A8F5A96673CD" descr="upload_post_object_v2_3947968666"/>
        <xdr:cNvPicPr/>
      </xdr:nvPicPr>
      <xdr:blipFill>
        <a:blip r:embed="rId87"/>
        <a:stretch>
          <a:fillRect/>
        </a:stretch>
      </xdr:blipFill>
      <xdr:spPr>
        <a:xfrm>
          <a:off x="0" y="0"/>
          <a:ext cx="561975" cy="885825"/>
        </a:xfrm>
        <a:prstGeom prst="rect">
          <a:avLst/>
        </a:prstGeom>
      </xdr:spPr>
    </xdr:pic>
  </etc:cellImage>
  <etc:cellImage>
    <xdr:pic>
      <xdr:nvPicPr>
        <xdr:cNvPr id="88" name="ID_0D4A112E88ED4034A02865273E58B280" descr="upload_post_object_v2_193448780"/>
        <xdr:cNvPicPr/>
      </xdr:nvPicPr>
      <xdr:blipFill>
        <a:blip r:embed="rId88"/>
        <a:stretch>
          <a:fillRect/>
        </a:stretch>
      </xdr:blipFill>
      <xdr:spPr>
        <a:xfrm>
          <a:off x="0" y="0"/>
          <a:ext cx="1428750" cy="2324100"/>
        </a:xfrm>
        <a:prstGeom prst="rect">
          <a:avLst/>
        </a:prstGeom>
      </xdr:spPr>
    </xdr:pic>
  </etc:cellImage>
  <etc:cellImage>
    <xdr:pic>
      <xdr:nvPicPr>
        <xdr:cNvPr id="89" name="ID_368AA7CD09C0431AA322DF611C5DD570" descr="upload_post_object_v2_2572445587"/>
        <xdr:cNvPicPr/>
      </xdr:nvPicPr>
      <xdr:blipFill>
        <a:blip r:embed="rId89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90" name="ID_3CD3539566ED4DA38E8B52B9A2A2E1A0" descr="upload_post_object_v2_1852032565"/>
        <xdr:cNvPicPr/>
      </xdr:nvPicPr>
      <xdr:blipFill>
        <a:blip r:embed="rId90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91" name="ID_AEB806D70E9D48429D759390F4D8782C" descr="upload_post_object_v2_1448554056"/>
        <xdr:cNvPicPr/>
      </xdr:nvPicPr>
      <xdr:blipFill>
        <a:blip r:embed="rId91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92" name="ID_1F5D48E7FCA9462AAC394314226E33E3" descr="upload_post_object_v2_2940829190"/>
        <xdr:cNvPicPr/>
      </xdr:nvPicPr>
      <xdr:blipFill>
        <a:blip r:embed="rId92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93" name="ID_99F33F34ADCF409784B6DD1B66FB177E" descr="upload_post_object_v2_1937566344"/>
        <xdr:cNvPicPr/>
      </xdr:nvPicPr>
      <xdr:blipFill>
        <a:blip r:embed="rId93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94" name="ID_0B883C340A0645C89DDC169EBA63FCD7" descr="upload_post_object_v2_408957262"/>
        <xdr:cNvPicPr/>
      </xdr:nvPicPr>
      <xdr:blipFill>
        <a:blip r:embed="rId94"/>
        <a:stretch>
          <a:fillRect/>
        </a:stretch>
      </xdr:blipFill>
      <xdr:spPr>
        <a:xfrm>
          <a:off x="0" y="0"/>
          <a:ext cx="828675" cy="1571625"/>
        </a:xfrm>
        <a:prstGeom prst="rect">
          <a:avLst/>
        </a:prstGeom>
      </xdr:spPr>
    </xdr:pic>
  </etc:cellImage>
  <etc:cellImage>
    <xdr:pic>
      <xdr:nvPicPr>
        <xdr:cNvPr id="95" name="ID_BEB24C998E0A41C9A414F383A32CC91E" descr="upload_post_object_v2_2331237109"/>
        <xdr:cNvPicPr/>
      </xdr:nvPicPr>
      <xdr:blipFill>
        <a:blip r:embed="rId95"/>
        <a:stretch>
          <a:fillRect/>
        </a:stretch>
      </xdr:blipFill>
      <xdr:spPr>
        <a:xfrm>
          <a:off x="0" y="0"/>
          <a:ext cx="1543050" cy="2000250"/>
        </a:xfrm>
        <a:prstGeom prst="rect">
          <a:avLst/>
        </a:prstGeom>
      </xdr:spPr>
    </xdr:pic>
  </etc:cellImage>
  <etc:cellImage>
    <xdr:pic>
      <xdr:nvPicPr>
        <xdr:cNvPr id="96" name="ID_D98B3AA35ED243959F043A81206C30C6" descr="upload_post_object_v2_1522285432"/>
        <xdr:cNvPicPr/>
      </xdr:nvPicPr>
      <xdr:blipFill>
        <a:blip r:embed="rId96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97" name="ID_7D9665FA437346EFB2EE2A7A9BDA213E" descr="upload_post_object_v2_3074952314"/>
        <xdr:cNvPicPr/>
      </xdr:nvPicPr>
      <xdr:blipFill>
        <a:blip r:embed="rId97"/>
        <a:stretch>
          <a:fillRect/>
        </a:stretch>
      </xdr:blipFill>
      <xdr:spPr>
        <a:xfrm>
          <a:off x="0" y="0"/>
          <a:ext cx="1409700" cy="2486025"/>
        </a:xfrm>
        <a:prstGeom prst="rect">
          <a:avLst/>
        </a:prstGeom>
      </xdr:spPr>
    </xdr:pic>
  </etc:cellImage>
  <etc:cellImage>
    <xdr:pic>
      <xdr:nvPicPr>
        <xdr:cNvPr id="98" name="ID_000303F986E645139D743BF52B88FB7C" descr="upload_post_object_v2_2472625644"/>
        <xdr:cNvPicPr/>
      </xdr:nvPicPr>
      <xdr:blipFill>
        <a:blip r:embed="rId98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99" name="ID_8264003E81EB4CDEB5BD65D21EE402B1" descr="upload_post_object_v2_3935587566"/>
        <xdr:cNvPicPr/>
      </xdr:nvPicPr>
      <xdr:blipFill>
        <a:blip r:embed="rId99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01" name="ID_7315724890464204896BF2678333CE73" descr="upload_post_object_v2_571540007"/>
        <xdr:cNvPicPr/>
      </xdr:nvPicPr>
      <xdr:blipFill>
        <a:blip r:embed="rId100"/>
        <a:stretch>
          <a:fillRect/>
        </a:stretch>
      </xdr:blipFill>
      <xdr:spPr>
        <a:xfrm>
          <a:off x="0" y="0"/>
          <a:ext cx="800100" cy="895350"/>
        </a:xfrm>
        <a:prstGeom prst="rect">
          <a:avLst/>
        </a:prstGeom>
      </xdr:spPr>
    </xdr:pic>
  </etc:cellImage>
  <etc:cellImage>
    <xdr:pic>
      <xdr:nvPicPr>
        <xdr:cNvPr id="102" name="ID_E48418AF56C64A0298B91F501423ADBB" descr="upload_post_object_v2_242521511"/>
        <xdr:cNvPicPr/>
      </xdr:nvPicPr>
      <xdr:blipFill>
        <a:blip r:embed="rId101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03" name="ID_5EB7A60FC4B043EAA2B4D01D8E7F8D49" descr="upload_post_object_v2_1405372435"/>
        <xdr:cNvPicPr/>
      </xdr:nvPicPr>
      <xdr:blipFill>
        <a:blip r:embed="rId102"/>
        <a:stretch>
          <a:fillRect/>
        </a:stretch>
      </xdr:blipFill>
      <xdr:spPr>
        <a:xfrm>
          <a:off x="0" y="0"/>
          <a:ext cx="933450" cy="1181100"/>
        </a:xfrm>
        <a:prstGeom prst="rect">
          <a:avLst/>
        </a:prstGeom>
      </xdr:spPr>
    </xdr:pic>
  </etc:cellImage>
  <etc:cellImage>
    <xdr:pic>
      <xdr:nvPicPr>
        <xdr:cNvPr id="104" name="ID_38A0E0AB70E0463EA1D2DAB9A198E725" descr="upload_post_object_v2_2897330233"/>
        <xdr:cNvPicPr/>
      </xdr:nvPicPr>
      <xdr:blipFill>
        <a:blip r:embed="rId103"/>
        <a:stretch>
          <a:fillRect/>
        </a:stretch>
      </xdr:blipFill>
      <xdr:spPr>
        <a:xfrm>
          <a:off x="0" y="0"/>
          <a:ext cx="1543050" cy="2657475"/>
        </a:xfrm>
        <a:prstGeom prst="rect">
          <a:avLst/>
        </a:prstGeom>
      </xdr:spPr>
    </xdr:pic>
  </etc:cellImage>
  <etc:cellImage>
    <xdr:pic>
      <xdr:nvPicPr>
        <xdr:cNvPr id="105" name="ID_71A9B3242B154A5D82413DAB94F99F00" descr="upload_post_object_v2_3313567431"/>
        <xdr:cNvPicPr/>
      </xdr:nvPicPr>
      <xdr:blipFill>
        <a:blip r:embed="rId104"/>
        <a:stretch>
          <a:fillRect/>
        </a:stretch>
      </xdr:blipFill>
      <xdr:spPr>
        <a:xfrm>
          <a:off x="0" y="0"/>
          <a:ext cx="1619250" cy="2019300"/>
        </a:xfrm>
        <a:prstGeom prst="rect">
          <a:avLst/>
        </a:prstGeom>
      </xdr:spPr>
    </xdr:pic>
  </etc:cellImage>
  <etc:cellImage>
    <xdr:pic>
      <xdr:nvPicPr>
        <xdr:cNvPr id="106" name="ID_B2F78ECFDD9445A0AF5E3E0CCE1B4036" descr="upload_post_object_v2_2699079011"/>
        <xdr:cNvPicPr/>
      </xdr:nvPicPr>
      <xdr:blipFill>
        <a:blip r:embed="rId105"/>
        <a:stretch>
          <a:fillRect/>
        </a:stretch>
      </xdr:blipFill>
      <xdr:spPr>
        <a:xfrm>
          <a:off x="0" y="0"/>
          <a:ext cx="1571625" cy="2000250"/>
        </a:xfrm>
        <a:prstGeom prst="rect">
          <a:avLst/>
        </a:prstGeom>
      </xdr:spPr>
    </xdr:pic>
  </etc:cellImage>
  <etc:cellImage>
    <xdr:pic>
      <xdr:nvPicPr>
        <xdr:cNvPr id="107" name="ID_95848B0FD85D490F8791937ED3D2060B" descr="upload_post_object_v2_2092316060"/>
        <xdr:cNvPicPr/>
      </xdr:nvPicPr>
      <xdr:blipFill>
        <a:blip r:embed="rId106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08" name="ID_256B14D8F9DA48F981850B77CC8FCD05" descr="upload_post_object_v2_1561341171"/>
        <xdr:cNvPicPr/>
      </xdr:nvPicPr>
      <xdr:blipFill>
        <a:blip r:embed="rId107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09" name="ID_A37022A2A44D454B9D5429F91A0CA609" descr="upload_post_object_v2_3208226161"/>
        <xdr:cNvPicPr/>
      </xdr:nvPicPr>
      <xdr:blipFill>
        <a:blip r:embed="rId108"/>
        <a:stretch>
          <a:fillRect/>
        </a:stretch>
      </xdr:blipFill>
      <xdr:spPr>
        <a:xfrm>
          <a:off x="0" y="0"/>
          <a:ext cx="9144000" cy="4109085"/>
        </a:xfrm>
        <a:prstGeom prst="rect">
          <a:avLst/>
        </a:prstGeom>
      </xdr:spPr>
    </xdr:pic>
  </etc:cellImage>
  <etc:cellImage>
    <xdr:pic>
      <xdr:nvPicPr>
        <xdr:cNvPr id="110" name="ID_F49A0F8304874B00AFF7518DD9A065A9" descr="upload_post_object_v2_941060770"/>
        <xdr:cNvPicPr/>
      </xdr:nvPicPr>
      <xdr:blipFill>
        <a:blip r:embed="rId109"/>
        <a:stretch>
          <a:fillRect/>
        </a:stretch>
      </xdr:blipFill>
      <xdr:spPr>
        <a:xfrm>
          <a:off x="0" y="0"/>
          <a:ext cx="1114425" cy="1933575"/>
        </a:xfrm>
        <a:prstGeom prst="rect">
          <a:avLst/>
        </a:prstGeom>
      </xdr:spPr>
    </xdr:pic>
  </etc:cellImage>
  <etc:cellImage>
    <xdr:pic>
      <xdr:nvPicPr>
        <xdr:cNvPr id="111" name="ID_0AAC7EEFEB494D188ACC9FDDE4490981" descr="upload_post_object_v2_3946857066"/>
        <xdr:cNvPicPr/>
      </xdr:nvPicPr>
      <xdr:blipFill>
        <a:blip r:embed="rId110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12" name="ID_9F8724DAEA38435C92C80C79F6B10760" descr="upload_post_object_v2_4043251184"/>
        <xdr:cNvPicPr/>
      </xdr:nvPicPr>
      <xdr:blipFill>
        <a:blip r:embed="rId111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13" name="ID_404B7DBD0389477485B1D2A876C4A632" descr="upload_post_object_v2_3185569387"/>
        <xdr:cNvPicPr/>
      </xdr:nvPicPr>
      <xdr:blipFill>
        <a:blip r:embed="rId112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14" name="ID_4B9D21A25CB6443EAA899CEA9FD1732F" descr="upload_post_object_v2_1039557387"/>
        <xdr:cNvPicPr/>
      </xdr:nvPicPr>
      <xdr:blipFill>
        <a:blip r:embed="rId113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15" name="ID_FC38471255F14955A28619EC580552C4" descr="upload_post_object_v2_3337189790"/>
        <xdr:cNvPicPr/>
      </xdr:nvPicPr>
      <xdr:blipFill>
        <a:blip r:embed="rId114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16" name="ID_004EA2B446F14A21A7FADC3AFB7E3602" descr="upload_post_object_v2_1451194207"/>
        <xdr:cNvPicPr/>
      </xdr:nvPicPr>
      <xdr:blipFill>
        <a:blip r:embed="rId115"/>
        <a:stretch>
          <a:fillRect/>
        </a:stretch>
      </xdr:blipFill>
      <xdr:spPr>
        <a:xfrm>
          <a:off x="0" y="0"/>
          <a:ext cx="2266950" cy="1962150"/>
        </a:xfrm>
        <a:prstGeom prst="rect">
          <a:avLst/>
        </a:prstGeom>
      </xdr:spPr>
    </xdr:pic>
  </etc:cellImage>
  <etc:cellImage>
    <xdr:pic>
      <xdr:nvPicPr>
        <xdr:cNvPr id="117" name="ID_C0F1682FC1524086B0BCFEF084540E26" descr="upload_post_object_v2_3290956068"/>
        <xdr:cNvPicPr/>
      </xdr:nvPicPr>
      <xdr:blipFill>
        <a:blip r:embed="rId116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18" name="ID_B2879DB259E24B38BD9A75AF9A8F1CCE" descr="upload_post_object_v2_360109193"/>
        <xdr:cNvPicPr/>
      </xdr:nvPicPr>
      <xdr:blipFill>
        <a:blip r:embed="rId117"/>
        <a:stretch>
          <a:fillRect/>
        </a:stretch>
      </xdr:blipFill>
      <xdr:spPr>
        <a:xfrm>
          <a:off x="0" y="0"/>
          <a:ext cx="1495425" cy="1019175"/>
        </a:xfrm>
        <a:prstGeom prst="rect">
          <a:avLst/>
        </a:prstGeom>
      </xdr:spPr>
    </xdr:pic>
  </etc:cellImage>
  <etc:cellImage>
    <xdr:pic>
      <xdr:nvPicPr>
        <xdr:cNvPr id="119" name="ID_5467522DCCFF4FBBB124E5C8BADB9A3F" descr="upload_post_object_v2_332428073"/>
        <xdr:cNvPicPr/>
      </xdr:nvPicPr>
      <xdr:blipFill>
        <a:blip r:embed="rId118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20" name="ID_28C46EF1D3DB47EFB79D4C72070A8C5A" descr="upload_post_object_v2_2615793410"/>
        <xdr:cNvPicPr/>
      </xdr:nvPicPr>
      <xdr:blipFill>
        <a:blip r:embed="rId119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21" name="ID_C2CE63E624394642B259C07D34C116B8" descr="upload_post_object_v2_1627408243"/>
        <xdr:cNvPicPr/>
      </xdr:nvPicPr>
      <xdr:blipFill>
        <a:blip r:embed="rId120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22" name="ID_A7DB65E7C75042C3ADBC679BD129D860" descr="upload_post_object_v2_2787562156"/>
        <xdr:cNvPicPr/>
      </xdr:nvPicPr>
      <xdr:blipFill>
        <a:blip r:embed="rId121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23" name="ID_E23B0F29B87E418BA0A3968EE85B1DAE" descr="upload_post_object_v2_4063269231"/>
        <xdr:cNvPicPr/>
      </xdr:nvPicPr>
      <xdr:blipFill>
        <a:blip r:embed="rId122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24" name="ID_016CFDBCDA364065B42767038F787DCD" descr="upload_post_object_v2_4104823885"/>
        <xdr:cNvPicPr/>
      </xdr:nvPicPr>
      <xdr:blipFill>
        <a:blip r:embed="rId123"/>
        <a:stretch>
          <a:fillRect/>
        </a:stretch>
      </xdr:blipFill>
      <xdr:spPr>
        <a:xfrm>
          <a:off x="0" y="0"/>
          <a:ext cx="4520565" cy="10058400"/>
        </a:xfrm>
        <a:prstGeom prst="rect">
          <a:avLst/>
        </a:prstGeom>
      </xdr:spPr>
    </xdr:pic>
  </etc:cellImage>
  <etc:cellImage>
    <xdr:pic>
      <xdr:nvPicPr>
        <xdr:cNvPr id="125" name="ID_2E3D47B9A598454F8F7FCEF030B13125" descr="upload_post_object_v2_1338279635"/>
        <xdr:cNvPicPr/>
      </xdr:nvPicPr>
      <xdr:blipFill>
        <a:blip r:embed="rId124"/>
        <a:stretch>
          <a:fillRect/>
        </a:stretch>
      </xdr:blipFill>
      <xdr:spPr>
        <a:xfrm>
          <a:off x="0" y="0"/>
          <a:ext cx="942975" cy="1123950"/>
        </a:xfrm>
        <a:prstGeom prst="rect">
          <a:avLst/>
        </a:prstGeom>
      </xdr:spPr>
    </xdr:pic>
  </etc:cellImage>
  <etc:cellImage>
    <xdr:pic>
      <xdr:nvPicPr>
        <xdr:cNvPr id="126" name="ID_487EEEF6F40F44C0BBF72698C69F05F8" descr="upload_post_object_v2_3864801532"/>
        <xdr:cNvPicPr/>
      </xdr:nvPicPr>
      <xdr:blipFill>
        <a:blip r:embed="rId125"/>
        <a:stretch>
          <a:fillRect/>
        </a:stretch>
      </xdr:blipFill>
      <xdr:spPr>
        <a:xfrm>
          <a:off x="0" y="0"/>
          <a:ext cx="1352550" cy="1781175"/>
        </a:xfrm>
        <a:prstGeom prst="rect">
          <a:avLst/>
        </a:prstGeom>
      </xdr:spPr>
    </xdr:pic>
  </etc:cellImage>
  <etc:cellImage>
    <xdr:pic>
      <xdr:nvPicPr>
        <xdr:cNvPr id="127" name="ID_CFB4E25B0FCC405E9B28F866B3F03C2B" descr="upload_post_object_v2_1490135834"/>
        <xdr:cNvPicPr/>
      </xdr:nvPicPr>
      <xdr:blipFill>
        <a:blip r:embed="rId126"/>
        <a:stretch>
          <a:fillRect/>
        </a:stretch>
      </xdr:blipFill>
      <xdr:spPr>
        <a:xfrm>
          <a:off x="0" y="0"/>
          <a:ext cx="9144000" cy="4107180"/>
        </a:xfrm>
        <a:prstGeom prst="rect">
          <a:avLst/>
        </a:prstGeom>
      </xdr:spPr>
    </xdr:pic>
  </etc:cellImage>
  <etc:cellImage>
    <xdr:pic>
      <xdr:nvPicPr>
        <xdr:cNvPr id="128" name="ID_2B6279E5B49D45E6B26609C3C8522EA5" descr="upload_post_object_v2_2086268524"/>
        <xdr:cNvPicPr/>
      </xdr:nvPicPr>
      <xdr:blipFill>
        <a:blip r:embed="rId127"/>
        <a:stretch>
          <a:fillRect/>
        </a:stretch>
      </xdr:blipFill>
      <xdr:spPr>
        <a:xfrm>
          <a:off x="0" y="0"/>
          <a:ext cx="762000" cy="962025"/>
        </a:xfrm>
        <a:prstGeom prst="rect">
          <a:avLst/>
        </a:prstGeom>
      </xdr:spPr>
    </xdr:pic>
  </etc:cellImage>
  <etc:cellImage>
    <xdr:pic>
      <xdr:nvPicPr>
        <xdr:cNvPr id="129" name="ID_BD7024E84F4E4ECFBBA6A3E34A5A7C64" descr="upload_post_object_v2_117134368"/>
        <xdr:cNvPicPr/>
      </xdr:nvPicPr>
      <xdr:blipFill>
        <a:blip r:embed="rId128"/>
        <a:stretch>
          <a:fillRect/>
        </a:stretch>
      </xdr:blipFill>
      <xdr:spPr>
        <a:xfrm>
          <a:off x="0" y="0"/>
          <a:ext cx="619125" cy="762000"/>
        </a:xfrm>
        <a:prstGeom prst="rect">
          <a:avLst/>
        </a:prstGeom>
      </xdr:spPr>
    </xdr:pic>
  </etc:cellImage>
  <etc:cellImage>
    <xdr:pic>
      <xdr:nvPicPr>
        <xdr:cNvPr id="130" name="ID_7B808664BE81421094696FAABA2EFEED" descr="upload_post_object_v2_323909454"/>
        <xdr:cNvPicPr/>
      </xdr:nvPicPr>
      <xdr:blipFill>
        <a:blip r:embed="rId129"/>
        <a:stretch>
          <a:fillRect/>
        </a:stretch>
      </xdr:blipFill>
      <xdr:spPr>
        <a:xfrm>
          <a:off x="0" y="0"/>
          <a:ext cx="1143000" cy="1314450"/>
        </a:xfrm>
        <a:prstGeom prst="rect">
          <a:avLst/>
        </a:prstGeom>
      </xdr:spPr>
    </xdr:pic>
  </etc:cellImage>
  <etc:cellImage>
    <xdr:pic>
      <xdr:nvPicPr>
        <xdr:cNvPr id="131" name="ID_BEB2B82D63154030A0FC10E7CEC61049" descr="upload_post_object_v2_4101509618"/>
        <xdr:cNvPicPr/>
      </xdr:nvPicPr>
      <xdr:blipFill>
        <a:blip r:embed="rId130"/>
        <a:stretch>
          <a:fillRect/>
        </a:stretch>
      </xdr:blipFill>
      <xdr:spPr>
        <a:xfrm>
          <a:off x="0" y="0"/>
          <a:ext cx="2162175" cy="981075"/>
        </a:xfrm>
        <a:prstGeom prst="rect">
          <a:avLst/>
        </a:prstGeom>
      </xdr:spPr>
    </xdr:pic>
  </etc:cellImage>
  <etc:cellImage>
    <xdr:pic>
      <xdr:nvPicPr>
        <xdr:cNvPr id="132" name="ID_5A55C84BF13D40DA8772580F7C945063" descr="upload_post_object_v2_702855022"/>
        <xdr:cNvPicPr/>
      </xdr:nvPicPr>
      <xdr:blipFill>
        <a:blip r:embed="rId131"/>
        <a:stretch>
          <a:fillRect/>
        </a:stretch>
      </xdr:blipFill>
      <xdr:spPr>
        <a:xfrm>
          <a:off x="0" y="0"/>
          <a:ext cx="619125" cy="1171575"/>
        </a:xfrm>
        <a:prstGeom prst="rect">
          <a:avLst/>
        </a:prstGeom>
      </xdr:spPr>
    </xdr:pic>
  </etc:cellImage>
  <etc:cellImage>
    <xdr:pic>
      <xdr:nvPicPr>
        <xdr:cNvPr id="133" name="ID_8D38B6D2EC684858B244C17EC8F9C0C6" descr="upload_post_object_v2_2906546739"/>
        <xdr:cNvPicPr/>
      </xdr:nvPicPr>
      <xdr:blipFill>
        <a:blip r:embed="rId132"/>
        <a:stretch>
          <a:fillRect/>
        </a:stretch>
      </xdr:blipFill>
      <xdr:spPr>
        <a:xfrm>
          <a:off x="0" y="0"/>
          <a:ext cx="809625" cy="1447800"/>
        </a:xfrm>
        <a:prstGeom prst="rect">
          <a:avLst/>
        </a:prstGeom>
      </xdr:spPr>
    </xdr:pic>
  </etc:cellImage>
  <etc:cellImage>
    <xdr:pic>
      <xdr:nvPicPr>
        <xdr:cNvPr id="134" name="ID_6AB4F4E5683F4F899A4EE138FDBBB012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4163675" y="117475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E2BEB1C436E64738A475392223FAE69F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4163675" y="2571115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3F79BD86F16F48A18BA7149BC436AF79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4163675" y="18243550"/>
          <a:ext cx="10668000" cy="1423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D7915C989FF447CAA7BBFCB1950A1492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14163675" y="2241550"/>
          <a:ext cx="10668000" cy="1423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E76295FDE7E44C18BFE71D2F728D6FA5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4163675" y="4375150"/>
          <a:ext cx="10668000" cy="1423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8658B0BC302A4042B3F08CC61B917144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14163675" y="2037715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769EDFA153EF42E6A3D7CFD548BBB78D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4163675" y="19310350"/>
          <a:ext cx="10668000" cy="1423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A887886239F444E08E4F4593E384F0DD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14163675" y="22510750"/>
          <a:ext cx="10668000" cy="1423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C79E4C670C494A959F3B4CA3A14268AE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14163675" y="2357755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F03791991C51441E900C57C8A73F614E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14163675" y="10775950"/>
          <a:ext cx="14630400" cy="1097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4" name="ID_2214B6B157AD44118F2A80890983AA00"/>
        <xdr:cNvPicPr>
          <a:picLocks noChangeAspect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30400" y="15043150"/>
          <a:ext cx="794385" cy="1075690"/>
        </a:xfrm>
        <a:prstGeom prst="rect">
          <a:avLst/>
        </a:prstGeom>
      </xdr:spPr>
    </xdr:pic>
  </etc:cellImage>
  <etc:cellImage>
    <xdr:pic>
      <xdr:nvPicPr>
        <xdr:cNvPr id="145" name="ID_20157693FD8E4701B88D95F2C22F048A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4263370" y="16196310"/>
          <a:ext cx="1916430" cy="929005"/>
        </a:xfrm>
        <a:prstGeom prst="rect">
          <a:avLst/>
        </a:prstGeom>
      </xdr:spPr>
    </xdr:pic>
  </etc:cellImage>
  <etc:cellImage>
    <xdr:pic>
      <xdr:nvPicPr>
        <xdr:cNvPr id="146" name="ID_C913089742B04A06A5557183A10B03B4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4187170" y="17239615"/>
          <a:ext cx="1881505" cy="887730"/>
        </a:xfrm>
        <a:prstGeom prst="rect">
          <a:avLst/>
        </a:prstGeom>
      </xdr:spPr>
    </xdr:pic>
  </etc:cellImage>
  <etc:cellImage>
    <xdr:pic>
      <xdr:nvPicPr>
        <xdr:cNvPr id="147" name="ID_5353BAE4E75B479F8C86F0C7B026CC96" descr="6104778099fd16d4cd34861b76a1715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 rot="5400000">
          <a:off x="9867265" y="12829540"/>
          <a:ext cx="10058400" cy="7566025"/>
        </a:xfrm>
        <a:prstGeom prst="rect">
          <a:avLst/>
        </a:prstGeom>
      </xdr:spPr>
    </xdr:pic>
  </etc:cellImage>
  <etc:cellImage>
    <xdr:pic>
      <xdr:nvPicPr>
        <xdr:cNvPr id="148" name="ID_3EA735520440491AA58AB9841BF2E3B7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 flipH="1">
          <a:off x="9922510" y="4380230"/>
          <a:ext cx="2900680" cy="3871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9" name="ID_B8267D1383C540C695DACE5EDFF807F1" descr="9efd474c4dfe37d0ee2b3e45f28fc94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 rot="5400000">
          <a:off x="9867265" y="11756390"/>
          <a:ext cx="10058400" cy="7591425"/>
        </a:xfrm>
        <a:prstGeom prst="rect">
          <a:avLst/>
        </a:prstGeom>
      </xdr:spPr>
    </xdr:pic>
  </etc:cellImage>
  <etc:cellImage>
    <xdr:pic>
      <xdr:nvPicPr>
        <xdr:cNvPr id="150" name="ID_E8A3A5CB71AE480CB114C49B531CADDD" descr="50cd36b19d74cc038022cc17666d760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10113010" y="2322830"/>
          <a:ext cx="1669415" cy="1252220"/>
        </a:xfrm>
        <a:prstGeom prst="rect">
          <a:avLst/>
        </a:prstGeom>
      </xdr:spPr>
    </xdr:pic>
  </etc:cellImage>
  <etc:cellImage>
    <xdr:pic>
      <xdr:nvPicPr>
        <xdr:cNvPr id="151" name="ID_8FA7C3AB05074C0494182785B035AB97" descr="58bd3978a4deee7270054ff86b00ab3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9867900" y="39344600"/>
          <a:ext cx="10058400" cy="7572375"/>
        </a:xfrm>
        <a:prstGeom prst="rect">
          <a:avLst/>
        </a:prstGeom>
      </xdr:spPr>
    </xdr:pic>
  </etc:cellImage>
  <etc:cellImage>
    <xdr:pic>
      <xdr:nvPicPr>
        <xdr:cNvPr id="152" name="ID_47A1CB789853492B8CA988085330529B" descr="ea441571ce98b01155683e271ecad5c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9867900" y="26009600"/>
          <a:ext cx="10058400" cy="7572375"/>
        </a:xfrm>
        <a:prstGeom prst="rect">
          <a:avLst/>
        </a:prstGeom>
      </xdr:spPr>
    </xdr:pic>
  </etc:cellImage>
  <etc:cellImage>
    <xdr:pic>
      <xdr:nvPicPr>
        <xdr:cNvPr id="153" name="ID_C08CF5BA91434B22AAC9C02F39EE2919" descr="0381913f137c46200ddab8e429b99dc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9867900" y="38455600"/>
          <a:ext cx="10058400" cy="7575550"/>
        </a:xfrm>
        <a:prstGeom prst="rect">
          <a:avLst/>
        </a:prstGeom>
      </xdr:spPr>
    </xdr:pic>
  </etc:cellImage>
  <etc:cellImage>
    <xdr:pic>
      <xdr:nvPicPr>
        <xdr:cNvPr id="154" name="ID_394E2688CD204D59B997BF260A1A419F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9989185" y="3514090"/>
          <a:ext cx="3888740" cy="2918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5" name="ID_78BCF0C506754F929895E6F94B84A367" descr="6f4e805a380f38b167bcbf7237c3582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 rot="5400000">
          <a:off x="9867900" y="18351500"/>
          <a:ext cx="10058400" cy="7569200"/>
        </a:xfrm>
        <a:prstGeom prst="rect">
          <a:avLst/>
        </a:prstGeom>
      </xdr:spPr>
    </xdr:pic>
  </etc:cellImage>
  <etc:cellImage>
    <xdr:pic>
      <xdr:nvPicPr>
        <xdr:cNvPr id="156" name="ID_4229410BF92D49A39F30311E3E0CD9A7" descr="5e00df5e0e6a352b96f307fcc3b46f2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 rot="5400000">
          <a:off x="9867900" y="14919325"/>
          <a:ext cx="10058400" cy="7569200"/>
        </a:xfrm>
        <a:prstGeom prst="rect">
          <a:avLst/>
        </a:prstGeom>
      </xdr:spPr>
    </xdr:pic>
  </etc:cellImage>
  <etc:cellImage>
    <xdr:pic>
      <xdr:nvPicPr>
        <xdr:cNvPr id="157" name="ID_27F805CADACF433989930AB35F8546BC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9959340" y="1206500"/>
          <a:ext cx="1537335" cy="9950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8" name="ID_BCA2C13BEFD349C4BAE5D2CDB7B6AFC6" descr="adfe8e43f433891b67d0145afb44181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 rot="5400000">
          <a:off x="9867265" y="33120965"/>
          <a:ext cx="10058400" cy="7572375"/>
        </a:xfrm>
        <a:prstGeom prst="rect">
          <a:avLst/>
        </a:prstGeom>
      </xdr:spPr>
    </xdr:pic>
  </etc:cellImage>
  <etc:cellImage>
    <xdr:pic>
      <xdr:nvPicPr>
        <xdr:cNvPr id="159" name="ID_89A57834FEA64039A90EC3F5B8C08EA7" descr="051a1daa48c88be45b55fe630d35db8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 rot="5400000">
          <a:off x="9867265" y="19544665"/>
          <a:ext cx="10058400" cy="7566025"/>
        </a:xfrm>
        <a:prstGeom prst="rect">
          <a:avLst/>
        </a:prstGeom>
      </xdr:spPr>
    </xdr:pic>
  </etc:cellImage>
  <etc:cellImage>
    <xdr:pic>
      <xdr:nvPicPr>
        <xdr:cNvPr id="160" name="ID_C41390235D1140FFAFC65A404A7E061F" descr="5c8721f6173bcada5fba0b94caa97f8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 rot="5400000">
          <a:off x="9867900" y="20729575"/>
          <a:ext cx="10058400" cy="7562850"/>
        </a:xfrm>
        <a:prstGeom prst="rect">
          <a:avLst/>
        </a:prstGeom>
      </xdr:spPr>
    </xdr:pic>
  </etc:cellImage>
  <etc:cellImage>
    <xdr:pic>
      <xdr:nvPicPr>
        <xdr:cNvPr id="161" name="ID_4C6C28846BD14C698DC3B1DC3C93FD4A" descr="9bbbc9bc1daa1ad4614f7aad6ea16ba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 rot="5400000">
          <a:off x="9867900" y="21967825"/>
          <a:ext cx="10058400" cy="7562850"/>
        </a:xfrm>
        <a:prstGeom prst="rect">
          <a:avLst/>
        </a:prstGeom>
      </xdr:spPr>
    </xdr:pic>
  </etc:cellImage>
  <etc:cellImage>
    <xdr:pic>
      <xdr:nvPicPr>
        <xdr:cNvPr id="162" name="ID_3FEE819FC7B44B65A0320920FDD796BA" descr="e4462134c3cd2e4574a580cf01a4b68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 rot="5400000">
          <a:off x="9867265" y="26897965"/>
          <a:ext cx="10058400" cy="7572375"/>
        </a:xfrm>
        <a:prstGeom prst="rect">
          <a:avLst/>
        </a:prstGeom>
      </xdr:spPr>
    </xdr:pic>
  </etc:cellImage>
  <etc:cellImage>
    <xdr:pic>
      <xdr:nvPicPr>
        <xdr:cNvPr id="163" name="ID_D5E695C44BAA4BEDA49B045F160F6704" descr="e17d632ce0c19990dabcc185da28fe6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 rot="5400000">
          <a:off x="9867265" y="27786965"/>
          <a:ext cx="10058400" cy="7572375"/>
        </a:xfrm>
        <a:prstGeom prst="rect">
          <a:avLst/>
        </a:prstGeom>
      </xdr:spPr>
    </xdr:pic>
  </etc:cellImage>
  <etc:cellImage>
    <xdr:pic>
      <xdr:nvPicPr>
        <xdr:cNvPr id="164" name="ID_3628CC6529DD4115B349AD58B598F0AB" descr="74dccd07256ffb395d4b6d5a0bd86e6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 rot="5400000">
          <a:off x="9867265" y="34009965"/>
          <a:ext cx="10058400" cy="7572375"/>
        </a:xfrm>
        <a:prstGeom prst="rect">
          <a:avLst/>
        </a:prstGeom>
      </xdr:spPr>
    </xdr:pic>
  </etc:cellImage>
  <etc:cellImage>
    <xdr:pic>
      <xdr:nvPicPr>
        <xdr:cNvPr id="165" name="ID_4EB87334315047E3B016F59DE7BBD6EC" descr="9bd7cd675ff032fd9ef4c6b3c7e908d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 rot="5400000">
          <a:off x="9867265" y="28675965"/>
          <a:ext cx="10058400" cy="7572375"/>
        </a:xfrm>
        <a:prstGeom prst="rect">
          <a:avLst/>
        </a:prstGeom>
      </xdr:spPr>
    </xdr:pic>
  </etc:cellImage>
  <etc:cellImage>
    <xdr:pic>
      <xdr:nvPicPr>
        <xdr:cNvPr id="166" name="ID_A93AB3E8DA8848799BE27B2086758D7D" descr="f67272563a726d10854c7de8da95730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 rot="5400000">
          <a:off x="9867265" y="30453965"/>
          <a:ext cx="10058400" cy="7572375"/>
        </a:xfrm>
        <a:prstGeom prst="rect">
          <a:avLst/>
        </a:prstGeom>
      </xdr:spPr>
    </xdr:pic>
  </etc:cellImage>
  <etc:cellImage>
    <xdr:pic>
      <xdr:nvPicPr>
        <xdr:cNvPr id="167" name="ID_2EAFC51952D4491C861E64E769279FBE" descr="cc90eae0bd293611d4b2f6448c2b763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 rot="5400000">
          <a:off x="9867265" y="31342965"/>
          <a:ext cx="10058400" cy="7572375"/>
        </a:xfrm>
        <a:prstGeom prst="rect">
          <a:avLst/>
        </a:prstGeom>
      </xdr:spPr>
    </xdr:pic>
  </etc:cellImage>
  <etc:cellImage>
    <xdr:pic>
      <xdr:nvPicPr>
        <xdr:cNvPr id="168" name="ID_556361EF234D4377A4306FFD8C247BF2" descr="b1dd3dba4f442815de9c1de4ec34898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 rot="5400000">
          <a:off x="9867265" y="35787965"/>
          <a:ext cx="10058400" cy="7572375"/>
        </a:xfrm>
        <a:prstGeom prst="rect">
          <a:avLst/>
        </a:prstGeom>
      </xdr:spPr>
    </xdr:pic>
  </etc:cellImage>
  <etc:cellImage>
    <xdr:pic>
      <xdr:nvPicPr>
        <xdr:cNvPr id="169" name="ID_2F798D53B5C24537B7F8BA72C53F139E" descr="23afddc8a46eced628376e191c36631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 rot="5400000">
          <a:off x="9867900" y="37566600"/>
          <a:ext cx="10058400" cy="7575550"/>
        </a:xfrm>
        <a:prstGeom prst="rect">
          <a:avLst/>
        </a:prstGeom>
      </xdr:spPr>
    </xdr:pic>
  </etc:cellImage>
  <etc:cellImage>
    <xdr:pic>
      <xdr:nvPicPr>
        <xdr:cNvPr id="170" name="ID_869CAADDF5524019B4F14693F619351E" descr="3d5e900bab9dcfd6c36475e8ec1c932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 rot="5400000">
          <a:off x="9867265" y="13905865"/>
          <a:ext cx="10058400" cy="7566025"/>
        </a:xfrm>
        <a:prstGeom prst="rect">
          <a:avLst/>
        </a:prstGeom>
      </xdr:spPr>
    </xdr:pic>
  </etc:cellImage>
  <etc:cellImage>
    <xdr:pic>
      <xdr:nvPicPr>
        <xdr:cNvPr id="171" name="ID_4EF7B87A8ADA4438B2932E062934682A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9946005" y="5525770"/>
          <a:ext cx="3541395" cy="4726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94A3C87BB0904549A33AD508DFCB00C7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9962515" y="8724265"/>
          <a:ext cx="2115185" cy="28517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7793A45E5EC1405D9042A2138106F0B0" descr="33a802cc4192dd1ad5cec54303ea522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 rot="5400000">
          <a:off x="9867265" y="9718040"/>
          <a:ext cx="10058400" cy="7591425"/>
        </a:xfrm>
        <a:prstGeom prst="rect">
          <a:avLst/>
        </a:prstGeom>
      </xdr:spPr>
    </xdr:pic>
  </etc:cellImage>
  <etc:cellImage>
    <xdr:pic>
      <xdr:nvPicPr>
        <xdr:cNvPr id="174" name="ID_7621894C90AF4097B807C5ACEF2358C5" descr="fd9bad63954edd047b04b0b0869cf0b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 rot="5400000">
          <a:off x="9867900" y="23012400"/>
          <a:ext cx="10058400" cy="7569200"/>
        </a:xfrm>
        <a:prstGeom prst="rect">
          <a:avLst/>
        </a:prstGeom>
      </xdr:spPr>
    </xdr:pic>
  </etc:cellImage>
  <etc:cellImage>
    <xdr:pic>
      <xdr:nvPicPr>
        <xdr:cNvPr id="175" name="ID_CD6735A6762E4843A947EA13307E3882" descr="ff0a7c94b2d993ab8ff131f83c1472e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 rot="5400000">
          <a:off x="9867265" y="10708640"/>
          <a:ext cx="10058400" cy="7591425"/>
        </a:xfrm>
        <a:prstGeom prst="rect">
          <a:avLst/>
        </a:prstGeom>
      </xdr:spPr>
    </xdr:pic>
  </etc:cellImage>
  <etc:cellImage>
    <xdr:pic>
      <xdr:nvPicPr>
        <xdr:cNvPr id="176" name="ID_E4A921E2BDB141FA91753337FE6C73AB" descr="d83e0dd6e5ba9804d049e77ce24b7ad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 rot="5400000">
          <a:off x="9867265" y="25119965"/>
          <a:ext cx="10058400" cy="7572375"/>
        </a:xfrm>
        <a:prstGeom prst="rect">
          <a:avLst/>
        </a:prstGeom>
      </xdr:spPr>
    </xdr:pic>
  </etc:cellImage>
  <etc:cellImage>
    <xdr:pic>
      <xdr:nvPicPr>
        <xdr:cNvPr id="177" name="ID_97EA79C163854B4EBDAC8ACB4870CD02" descr="upload_post_object_v2_3319844884"/>
        <xdr:cNvPicPr/>
      </xdr:nvPicPr>
      <xdr:blipFill>
        <a:blip r:embed="rId176"/>
        <a:stretch>
          <a:fillRect/>
        </a:stretch>
      </xdr:blipFill>
      <xdr:spPr>
        <a:xfrm>
          <a:off x="0" y="0"/>
          <a:ext cx="7696200" cy="3990975"/>
        </a:xfrm>
        <a:prstGeom prst="rect">
          <a:avLst/>
        </a:prstGeom>
      </xdr:spPr>
    </xdr:pic>
  </etc:cellImage>
  <etc:cellImage>
    <xdr:pic>
      <xdr:nvPicPr>
        <xdr:cNvPr id="178" name="ID_6496195A6894434CA6E9B2F87B3F8C5D" descr="upload_post_object_v2_1253632682"/>
        <xdr:cNvPicPr/>
      </xdr:nvPicPr>
      <xdr:blipFill>
        <a:blip r:embed="rId177"/>
        <a:stretch>
          <a:fillRect/>
        </a:stretch>
      </xdr:blipFill>
      <xdr:spPr>
        <a:xfrm>
          <a:off x="0" y="0"/>
          <a:ext cx="676275" cy="904875"/>
        </a:xfrm>
        <a:prstGeom prst="rect">
          <a:avLst/>
        </a:prstGeom>
      </xdr:spPr>
    </xdr:pic>
  </etc:cellImage>
  <etc:cellImage>
    <xdr:pic>
      <xdr:nvPicPr>
        <xdr:cNvPr id="179" name="ID_B64D57A50D1C4314B0A348B674255AD4" descr="upload_post_object_v2_97057094"/>
        <xdr:cNvPicPr/>
      </xdr:nvPicPr>
      <xdr:blipFill>
        <a:blip r:embed="rId178"/>
        <a:stretch>
          <a:fillRect/>
        </a:stretch>
      </xdr:blipFill>
      <xdr:spPr>
        <a:xfrm>
          <a:off x="0" y="0"/>
          <a:ext cx="9144000" cy="5143500"/>
        </a:xfrm>
        <a:prstGeom prst="rect">
          <a:avLst/>
        </a:prstGeom>
      </xdr:spPr>
    </xdr:pic>
  </etc:cellImage>
  <etc:cellImage>
    <xdr:pic>
      <xdr:nvPicPr>
        <xdr:cNvPr id="180" name="ID_40821ED9B128462EB4CE7966BCD2ED38" descr="upload_post_object_v2_3746908119"/>
        <xdr:cNvPicPr/>
      </xdr:nvPicPr>
      <xdr:blipFill>
        <a:blip r:embed="rId179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181" name="ID_DFD7F52901C74279945ED22FB2612909" descr="upload_post_object_v2_1502168196"/>
        <xdr:cNvPicPr/>
      </xdr:nvPicPr>
      <xdr:blipFill>
        <a:blip r:embed="rId180"/>
        <a:stretch>
          <a:fillRect/>
        </a:stretch>
      </xdr:blipFill>
      <xdr:spPr>
        <a:xfrm>
          <a:off x="0" y="0"/>
          <a:ext cx="800100" cy="1066800"/>
        </a:xfrm>
        <a:prstGeom prst="rect">
          <a:avLst/>
        </a:prstGeom>
      </xdr:spPr>
    </xdr:pic>
  </etc:cellImage>
  <etc:cellImage>
    <xdr:pic>
      <xdr:nvPicPr>
        <xdr:cNvPr id="182" name="ID_F1AA18F533CB4A8FBC9021AB8F741677" descr="upload_post_object_v2_1882494107"/>
        <xdr:cNvPicPr/>
      </xdr:nvPicPr>
      <xdr:blipFill>
        <a:blip r:embed="rId180"/>
        <a:stretch>
          <a:fillRect/>
        </a:stretch>
      </xdr:blipFill>
      <xdr:spPr>
        <a:xfrm>
          <a:off x="0" y="0"/>
          <a:ext cx="800100" cy="1066800"/>
        </a:xfrm>
        <a:prstGeom prst="rect">
          <a:avLst/>
        </a:prstGeom>
      </xdr:spPr>
    </xdr:pic>
  </etc:cellImage>
  <etc:cellImage>
    <xdr:pic>
      <xdr:nvPicPr>
        <xdr:cNvPr id="183" name="ID_07AD535818464C8492330214757ED33D" descr="upload_post_object_v2_122779678"/>
        <xdr:cNvPicPr/>
      </xdr:nvPicPr>
      <xdr:blipFill>
        <a:blip r:embed="rId181"/>
        <a:stretch>
          <a:fillRect/>
        </a:stretch>
      </xdr:blipFill>
      <xdr:spPr>
        <a:xfrm>
          <a:off x="0" y="0"/>
          <a:ext cx="3533775" cy="2190750"/>
        </a:xfrm>
        <a:prstGeom prst="rect">
          <a:avLst/>
        </a:prstGeom>
      </xdr:spPr>
    </xdr:pic>
  </etc:cellImage>
  <etc:cellImage>
    <xdr:pic>
      <xdr:nvPicPr>
        <xdr:cNvPr id="184" name="ID_912758366E1D481CA64CCF0665A1CC4D" descr="upload_post_object_v2_1283805091"/>
        <xdr:cNvPicPr/>
      </xdr:nvPicPr>
      <xdr:blipFill>
        <a:blip r:embed="rId182"/>
        <a:stretch>
          <a:fillRect/>
        </a:stretch>
      </xdr:blipFill>
      <xdr:spPr>
        <a:xfrm>
          <a:off x="0" y="0"/>
          <a:ext cx="2781300" cy="3914775"/>
        </a:xfrm>
        <a:prstGeom prst="rect">
          <a:avLst/>
        </a:prstGeom>
      </xdr:spPr>
    </xdr:pic>
  </etc:cellImage>
  <etc:cellImage>
    <xdr:pic>
      <xdr:nvPicPr>
        <xdr:cNvPr id="185" name="ID_E2D61330DDE34107A99822D3C5AA2555" descr="upload_post_object_v2_1978317513"/>
        <xdr:cNvPicPr/>
      </xdr:nvPicPr>
      <xdr:blipFill>
        <a:blip r:embed="rId183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186" name="ID_4D3E3CAF454D436CB552DC83DBB35C3A" descr="upload_post_object_v2_2891361739"/>
        <xdr:cNvPicPr/>
      </xdr:nvPicPr>
      <xdr:blipFill>
        <a:blip r:embed="rId184"/>
        <a:stretch>
          <a:fillRect/>
        </a:stretch>
      </xdr:blipFill>
      <xdr:spPr>
        <a:xfrm>
          <a:off x="0" y="0"/>
          <a:ext cx="800100" cy="1066800"/>
        </a:xfrm>
        <a:prstGeom prst="rect">
          <a:avLst/>
        </a:prstGeom>
      </xdr:spPr>
    </xdr:pic>
  </etc:cellImage>
  <etc:cellImage>
    <xdr:pic>
      <xdr:nvPicPr>
        <xdr:cNvPr id="187" name="ID_E4CC843B00004BFD821E31B6BD05B937" descr="upload_post_object_v2_901440999"/>
        <xdr:cNvPicPr/>
      </xdr:nvPicPr>
      <xdr:blipFill>
        <a:blip r:embed="rId185"/>
        <a:stretch>
          <a:fillRect/>
        </a:stretch>
      </xdr:blipFill>
      <xdr:spPr>
        <a:xfrm>
          <a:off x="0" y="0"/>
          <a:ext cx="9144000" cy="6858000"/>
        </a:xfrm>
        <a:prstGeom prst="rect">
          <a:avLst/>
        </a:prstGeom>
      </xdr:spPr>
    </xdr:pic>
  </etc:cellImage>
  <etc:cellImage>
    <xdr:pic>
      <xdr:nvPicPr>
        <xdr:cNvPr id="188" name="ID_C4E893D9257049828505509704757A61" descr="upload_post_object_v2_917905947"/>
        <xdr:cNvPicPr/>
      </xdr:nvPicPr>
      <xdr:blipFill>
        <a:blip r:embed="rId186"/>
        <a:stretch>
          <a:fillRect/>
        </a:stretch>
      </xdr:blipFill>
      <xdr:spPr>
        <a:xfrm>
          <a:off x="0" y="0"/>
          <a:ext cx="1428750" cy="1066800"/>
        </a:xfrm>
        <a:prstGeom prst="rect">
          <a:avLst/>
        </a:prstGeom>
      </xdr:spPr>
    </xdr:pic>
  </etc:cellImage>
  <etc:cellImage>
    <xdr:pic>
      <xdr:nvPicPr>
        <xdr:cNvPr id="189" name="ID_C5B2C015E4CE4E88ABE9D128A67CE4EB" descr="upload_post_object_v2_3009157955"/>
        <xdr:cNvPicPr/>
      </xdr:nvPicPr>
      <xdr:blipFill>
        <a:blip r:embed="rId187"/>
        <a:stretch>
          <a:fillRect/>
        </a:stretch>
      </xdr:blipFill>
      <xdr:spPr>
        <a:xfrm>
          <a:off x="0" y="0"/>
          <a:ext cx="3028950" cy="1962150"/>
        </a:xfrm>
        <a:prstGeom prst="rect">
          <a:avLst/>
        </a:prstGeom>
      </xdr:spPr>
    </xdr:pic>
  </etc:cellImage>
  <etc:cellImage>
    <xdr:pic>
      <xdr:nvPicPr>
        <xdr:cNvPr id="190" name="ID_0614A9A9E4E74A9F92AAAB1A7CB6D78D" descr="f21a2ef308fc4db4d9fc156757259b6"/>
        <xdr:cNvPicPr>
          <a:picLocks noChangeAspect="1"/>
        </xdr:cNvPicPr>
      </xdr:nvPicPr>
      <xdr:blipFill>
        <a:blip r:embed="rId188"/>
        <a:srcRect l="17723" t="21510" r="28354" b="30208"/>
        <a:stretch>
          <a:fillRect/>
        </a:stretch>
      </xdr:blipFill>
      <xdr:spPr>
        <a:xfrm>
          <a:off x="10271125" y="1283335"/>
          <a:ext cx="1275715" cy="1523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1" name="ID_B7DC47E1E1AF4E9593021A8E048881F9" descr="4ee895447a18520fde43ed1014f38cd"/>
        <xdr:cNvPicPr>
          <a:picLocks noChangeAspect="1"/>
        </xdr:cNvPicPr>
      </xdr:nvPicPr>
      <xdr:blipFill>
        <a:blip r:embed="rId189"/>
        <a:srcRect l="18228" t="20711" r="17073" b="14885"/>
        <a:stretch>
          <a:fillRect/>
        </a:stretch>
      </xdr:blipFill>
      <xdr:spPr>
        <a:xfrm>
          <a:off x="9858375" y="2241550"/>
          <a:ext cx="1672590" cy="2219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2" name="ID_2E5F8C67789D4E9499F9AD81F5CD00D0" descr="27f6929de597e71b4a2446637829d86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9858375" y="4375150"/>
          <a:ext cx="3035300" cy="2276475"/>
        </a:xfrm>
        <a:prstGeom prst="rect">
          <a:avLst/>
        </a:prstGeom>
      </xdr:spPr>
    </xdr:pic>
  </etc:cellImage>
  <etc:cellImage>
    <xdr:pic>
      <xdr:nvPicPr>
        <xdr:cNvPr id="193" name="ID_160C0DE8BFCA4DF9BCC80572E2FB83A6" descr="fdee15a6e99198de94ee44e5fdcf8f8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9858375" y="3308350"/>
          <a:ext cx="3202940" cy="2402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4" name="ID_1C50B93FD3ED4209B1B7D6AE4806731B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10729595" y="29199205"/>
          <a:ext cx="998220" cy="1029970"/>
        </a:xfrm>
        <a:prstGeom prst="rect">
          <a:avLst/>
        </a:prstGeom>
      </xdr:spPr>
    </xdr:pic>
  </etc:cellImage>
  <etc:cellImage>
    <xdr:pic>
      <xdr:nvPicPr>
        <xdr:cNvPr id="195" name="ID_EE43036F48F447C39CDCA734C313A1F5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10752455" y="28234005"/>
          <a:ext cx="998220" cy="1029970"/>
        </a:xfrm>
        <a:prstGeom prst="rect">
          <a:avLst/>
        </a:prstGeom>
      </xdr:spPr>
    </xdr:pic>
  </etc:cellImage>
  <etc:cellImage>
    <xdr:pic>
      <xdr:nvPicPr>
        <xdr:cNvPr id="196" name="ID_B5CC94E50D504DB0AF6163D713D8FA13" descr="C:\Users\Administrator\Documents\WXWork\1688850118116630\Cache\Image\2025-02\03c2adb8078cfafdb01810c2de343327_compress.jpg"/>
        <xdr:cNvPicPr>
          <a:picLocks noChangeAspect="1" noChangeArrowheads="1"/>
        </xdr:cNvPicPr>
      </xdr:nvPicPr>
      <xdr:blipFill>
        <a:blip r:embed="rId193"/>
        <a:srcRect/>
        <a:stretch>
          <a:fillRect/>
        </a:stretch>
      </xdr:blipFill>
      <xdr:spPr>
        <a:xfrm>
          <a:off x="10855325" y="47104300"/>
          <a:ext cx="807720" cy="1089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97" name="ID_FAEC9842C18042E1A6F8D832A83A3EDC" descr="C:\Users\Administrator\Documents\WXWork\1688850118116630\Cache\Image\2025-02\11b09ba3680fe7f8b561914849ec31c3_compress.jpg"/>
        <xdr:cNvPicPr>
          <a:picLocks noChangeAspect="1" noChangeArrowheads="1"/>
        </xdr:cNvPicPr>
      </xdr:nvPicPr>
      <xdr:blipFill>
        <a:blip r:embed="rId194"/>
        <a:srcRect/>
        <a:stretch>
          <a:fillRect/>
        </a:stretch>
      </xdr:blipFill>
      <xdr:spPr>
        <a:xfrm>
          <a:off x="11005820" y="49115345"/>
          <a:ext cx="807085" cy="1089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98" name="ID_08CBE5CF47D249848EE7D076FF7C0B36" descr="C:\Users\Administrator\Documents\WXWork\1688850118116630\Cache\Image\2025-02\63faf524c9c6e975ac799b33d3fa7940_compress.jpg"/>
        <xdr:cNvPicPr>
          <a:picLocks noChangeAspect="1" noChangeArrowheads="1"/>
        </xdr:cNvPicPr>
      </xdr:nvPicPr>
      <xdr:blipFill>
        <a:blip r:embed="rId195"/>
        <a:srcRect/>
        <a:stretch>
          <a:fillRect/>
        </a:stretch>
      </xdr:blipFill>
      <xdr:spPr>
        <a:xfrm>
          <a:off x="11037570" y="50156110"/>
          <a:ext cx="807085" cy="1089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00" name="ID_38B0CC05DA0B4978A1A13BEF2A4AADD0" descr="C:\Users\Administrator\Documents\WXWork\1688850118116630\Cache\Image\2025-02\09a29110d590a96c1900fc263a0add77_compress.jpg"/>
        <xdr:cNvPicPr>
          <a:picLocks noChangeAspect="1" noChangeArrowheads="1"/>
        </xdr:cNvPicPr>
      </xdr:nvPicPr>
      <xdr:blipFill>
        <a:blip r:embed="rId196"/>
        <a:srcRect/>
        <a:stretch>
          <a:fillRect/>
        </a:stretch>
      </xdr:blipFill>
      <xdr:spPr>
        <a:xfrm>
          <a:off x="10799445" y="51202590"/>
          <a:ext cx="635635" cy="86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01" name="ID_7B3D17EF60144E119033F67E79C6019C" descr="C:\Users\Administrator\Documents\WXWork\1688850118116630\Cache\Image\2025-02\09a29110d590a96c1900fc263a0add77_compress.jpg"/>
        <xdr:cNvPicPr>
          <a:picLocks noChangeAspect="1" noChangeArrowheads="1"/>
        </xdr:cNvPicPr>
      </xdr:nvPicPr>
      <xdr:blipFill>
        <a:blip r:embed="rId197"/>
        <a:srcRect/>
        <a:stretch>
          <a:fillRect/>
        </a:stretch>
      </xdr:blipFill>
      <xdr:spPr>
        <a:xfrm>
          <a:off x="10956925" y="52192555"/>
          <a:ext cx="591820" cy="798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02" name="ID_7DD679D3768245F493D2DBF93805BFDA" descr="C:\Users\Administrator\Documents\WXWork\1688850118116630\Cache\Image\2025-02\6d9aa59ceb72e3a7aca2f404cbaaebd3_compress.jpg"/>
        <xdr:cNvPicPr>
          <a:picLocks noChangeAspect="1" noChangeArrowheads="1"/>
        </xdr:cNvPicPr>
      </xdr:nvPicPr>
      <xdr:blipFill>
        <a:blip r:embed="rId198"/>
        <a:srcRect/>
        <a:stretch>
          <a:fillRect/>
        </a:stretch>
      </xdr:blipFill>
      <xdr:spPr>
        <a:xfrm>
          <a:off x="10918825" y="53184425"/>
          <a:ext cx="807085" cy="1089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03" name="ID_628CD61ADAFD473B861DB359789C4CC9" descr="d08198dd5b31853092b516d4f156a7f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8557895" y="9598025"/>
          <a:ext cx="5639435" cy="10046970"/>
        </a:xfrm>
        <a:prstGeom prst="rect">
          <a:avLst/>
        </a:prstGeom>
      </xdr:spPr>
    </xdr:pic>
  </etc:cellImage>
  <etc:cellImage>
    <xdr:pic>
      <xdr:nvPicPr>
        <xdr:cNvPr id="204" name="ID_B7FC0C4C1CD944F1AC80A6431CDC9C15" descr="4ea2e1075c7f90a339de2f8e05294af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9023985" y="11024870"/>
          <a:ext cx="5639435" cy="10047605"/>
        </a:xfrm>
        <a:prstGeom prst="rect">
          <a:avLst/>
        </a:prstGeom>
      </xdr:spPr>
    </xdr:pic>
  </etc:cellImage>
  <etc:cellImage>
    <xdr:pic>
      <xdr:nvPicPr>
        <xdr:cNvPr id="205" name="ID_021156CC33F348918D751FC5DA99AAF4" descr="66df34d5ac646082ea8101b9833f623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9636760" y="11925300"/>
          <a:ext cx="5638800" cy="10048875"/>
        </a:xfrm>
        <a:prstGeom prst="rect">
          <a:avLst/>
        </a:prstGeom>
      </xdr:spPr>
    </xdr:pic>
  </etc:cellImage>
  <etc:cellImage>
    <xdr:pic>
      <xdr:nvPicPr>
        <xdr:cNvPr id="206" name="ID_6A77D13620EE4CC2AB815CD54818C893" descr="e3c36b658b8d0fc30a9cfa8a4abac36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8287385" y="14669770"/>
          <a:ext cx="5639435" cy="10046970"/>
        </a:xfrm>
        <a:prstGeom prst="rect">
          <a:avLst/>
        </a:prstGeom>
      </xdr:spPr>
    </xdr:pic>
  </etc:cellImage>
  <etc:cellImage>
    <xdr:pic>
      <xdr:nvPicPr>
        <xdr:cNvPr id="207" name="ID_82A1408A57FE4808BCCD2651B2487766" descr="2ba90a76179942d91ff701631e49e5a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9038590" y="13689330"/>
          <a:ext cx="5639435" cy="10046335"/>
        </a:xfrm>
        <a:prstGeom prst="rect">
          <a:avLst/>
        </a:prstGeom>
      </xdr:spPr>
    </xdr:pic>
  </etc:cellImage>
  <etc:cellImage>
    <xdr:pic>
      <xdr:nvPicPr>
        <xdr:cNvPr id="208" name="ID_794A4E8B4B0941AB849328C665E4DD58" descr="91cac8bd27a300017d60d13e83c0881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8521700" y="12137390"/>
          <a:ext cx="5639435" cy="10048875"/>
        </a:xfrm>
        <a:prstGeom prst="rect">
          <a:avLst/>
        </a:prstGeom>
      </xdr:spPr>
    </xdr:pic>
  </etc:cellImage>
  <etc:cellImage>
    <xdr:pic>
      <xdr:nvPicPr>
        <xdr:cNvPr id="209" name="ID_0FE238EB0DB54C099BA4321F8F686CC7" descr="094c4d6e50ec76cbe99cf76e4966d62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8811260" y="13242925"/>
          <a:ext cx="5639435" cy="10047605"/>
        </a:xfrm>
        <a:prstGeom prst="rect">
          <a:avLst/>
        </a:prstGeom>
      </xdr:spPr>
    </xdr:pic>
  </etc:cellImage>
  <etc:cellImage>
    <xdr:pic>
      <xdr:nvPicPr>
        <xdr:cNvPr id="210" name="ID_48A7BCE9ABF144C1B1C41EA9CC9B2A5A" descr="8ffb624a3cc20db22b93c4b6f659ebd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8825865" y="15885160"/>
          <a:ext cx="5639435" cy="10048240"/>
        </a:xfrm>
        <a:prstGeom prst="rect">
          <a:avLst/>
        </a:prstGeom>
      </xdr:spPr>
    </xdr:pic>
  </etc:cellImage>
  <etc:cellImage>
    <xdr:pic>
      <xdr:nvPicPr>
        <xdr:cNvPr id="211" name="ID_2A10C356CB6147DC8633CFDBD64DF0B4" descr="04976db76552f9476869a7931a477a8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7913370" y="16052800"/>
          <a:ext cx="7515860" cy="10048240"/>
        </a:xfrm>
        <a:prstGeom prst="rect">
          <a:avLst/>
        </a:prstGeom>
      </xdr:spPr>
    </xdr:pic>
  </etc:cellImage>
  <etc:cellImage>
    <xdr:pic>
      <xdr:nvPicPr>
        <xdr:cNvPr id="212" name="ID_AABC6535C0A6471BAFC7C517F4FF170C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10241280" y="62771020"/>
          <a:ext cx="1012190" cy="1800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3" name="ID_8DF84C53F8B64E2DB25CFC91652A0EA0"/>
        <xdr:cNvPicPr>
          <a:picLocks noChangeAspect="1" noChangeArrowheads="1"/>
        </xdr:cNvPicPr>
      </xdr:nvPicPr>
      <xdr:blipFill>
        <a:blip r:embed="rId209"/>
        <a:srcRect/>
        <a:stretch>
          <a:fillRect/>
        </a:stretch>
      </xdr:blipFill>
      <xdr:spPr>
        <a:xfrm>
          <a:off x="9430385" y="6341110"/>
          <a:ext cx="14192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14" name="ID_C73D774A27864DF59A22EA3BDA332BFD"/>
        <xdr:cNvPicPr>
          <a:picLocks noChangeAspect="1"/>
        </xdr:cNvPicPr>
      </xdr:nvPicPr>
      <xdr:blipFill>
        <a:blip r:embed="rId210"/>
        <a:srcRect t="36039" b="14247"/>
        <a:stretch>
          <a:fillRect/>
        </a:stretch>
      </xdr:blipFill>
      <xdr:spPr>
        <a:xfrm>
          <a:off x="9778365" y="7579360"/>
          <a:ext cx="718185" cy="637540"/>
        </a:xfrm>
        <a:prstGeom prst="rect">
          <a:avLst/>
        </a:prstGeom>
      </xdr:spPr>
    </xdr:pic>
  </etc:cellImage>
  <etc:cellImage>
    <xdr:pic>
      <xdr:nvPicPr>
        <xdr:cNvPr id="215" name="ID_82E57D69640D4811B209D218653D50C6"/>
        <xdr:cNvPicPr>
          <a:picLocks noChangeAspect="1"/>
        </xdr:cNvPicPr>
      </xdr:nvPicPr>
      <xdr:blipFill>
        <a:blip r:embed="rId211"/>
        <a:srcRect t="11878" b="12098"/>
        <a:stretch>
          <a:fillRect/>
        </a:stretch>
      </xdr:blipFill>
      <xdr:spPr>
        <a:xfrm>
          <a:off x="9754235" y="8366760"/>
          <a:ext cx="781685" cy="1059815"/>
        </a:xfrm>
        <a:prstGeom prst="rect">
          <a:avLst/>
        </a:prstGeom>
      </xdr:spPr>
    </xdr:pic>
  </etc:cellImage>
  <etc:cellImage>
    <xdr:pic>
      <xdr:nvPicPr>
        <xdr:cNvPr id="216" name="ID_24387ECFEB2745BD9611C8A7417CDF80"/>
        <xdr:cNvPicPr>
          <a:picLocks noChangeAspect="1"/>
        </xdr:cNvPicPr>
      </xdr:nvPicPr>
      <xdr:blipFill>
        <a:blip r:embed="rId212"/>
        <a:srcRect t="28587" b="8387"/>
        <a:stretch>
          <a:fillRect/>
        </a:stretch>
      </xdr:blipFill>
      <xdr:spPr>
        <a:xfrm>
          <a:off x="9992360" y="9355455"/>
          <a:ext cx="742315" cy="830580"/>
        </a:xfrm>
        <a:prstGeom prst="rect">
          <a:avLst/>
        </a:prstGeom>
      </xdr:spPr>
    </xdr:pic>
  </etc:cellImage>
  <etc:cellImage>
    <xdr:pic>
      <xdr:nvPicPr>
        <xdr:cNvPr id="217" name="ID_A63A0243125E45E08B4DE9E4581CD9F9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9825990" y="7684770"/>
          <a:ext cx="1990725" cy="1867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9" name="ID_161A04D0C5774B6D98EA51607B5DA419"/>
        <xdr:cNvPicPr>
          <a:picLocks noChangeAspect="1" noChangeArrowheads="1"/>
        </xdr:cNvPicPr>
      </xdr:nvPicPr>
      <xdr:blipFill>
        <a:blip r:embed="rId214"/>
        <a:srcRect/>
        <a:stretch>
          <a:fillRect/>
        </a:stretch>
      </xdr:blipFill>
      <xdr:spPr>
        <a:xfrm>
          <a:off x="9858375" y="935990"/>
          <a:ext cx="1600200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18" name="ID_2F35A1E8FE1540A083CD13152DD04727"/>
        <xdr:cNvPicPr>
          <a:picLocks noChangeAspect="1" noChangeArrowheads="1"/>
        </xdr:cNvPicPr>
      </xdr:nvPicPr>
      <xdr:blipFill>
        <a:blip r:embed="rId215"/>
        <a:srcRect/>
        <a:stretch>
          <a:fillRect/>
        </a:stretch>
      </xdr:blipFill>
      <xdr:spPr>
        <a:xfrm>
          <a:off x="9858375" y="2012315"/>
          <a:ext cx="600075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19" name="ID_5A9278B35660455485A0811D1249C061"/>
        <xdr:cNvPicPr>
          <a:picLocks noChangeAspect="1" noChangeArrowheads="1"/>
        </xdr:cNvPicPr>
      </xdr:nvPicPr>
      <xdr:blipFill>
        <a:blip r:embed="rId216"/>
        <a:srcRect/>
        <a:stretch>
          <a:fillRect/>
        </a:stretch>
      </xdr:blipFill>
      <xdr:spPr>
        <a:xfrm>
          <a:off x="9858375" y="3088640"/>
          <a:ext cx="790575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20" name="ID_C4F9E6D8EF3C43A68FE3726A78A2A4DB"/>
        <xdr:cNvPicPr>
          <a:picLocks noChangeAspect="1" noChangeArrowheads="1"/>
        </xdr:cNvPicPr>
      </xdr:nvPicPr>
      <xdr:blipFill>
        <a:blip r:embed="rId217"/>
        <a:srcRect/>
        <a:stretch>
          <a:fillRect/>
        </a:stretch>
      </xdr:blipFill>
      <xdr:spPr>
        <a:xfrm>
          <a:off x="9858375" y="4164965"/>
          <a:ext cx="590550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21" name="ID_2C12E350B5E340ABA62E40179EF26BB2"/>
        <xdr:cNvPicPr>
          <a:picLocks noChangeAspect="1" noChangeArrowheads="1"/>
        </xdr:cNvPicPr>
      </xdr:nvPicPr>
      <xdr:blipFill>
        <a:blip r:embed="rId218"/>
        <a:srcRect/>
        <a:stretch>
          <a:fillRect/>
        </a:stretch>
      </xdr:blipFill>
      <xdr:spPr>
        <a:xfrm>
          <a:off x="9858375" y="5241290"/>
          <a:ext cx="590550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22" name="ID_D8654529C0604D65914DEE968039DE43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10191115" y="11221085"/>
          <a:ext cx="1126490" cy="671830"/>
        </a:xfrm>
        <a:prstGeom prst="rect">
          <a:avLst/>
        </a:prstGeom>
      </xdr:spPr>
    </xdr:pic>
  </etc:cellImage>
  <etc:cellImage>
    <xdr:pic>
      <xdr:nvPicPr>
        <xdr:cNvPr id="223" name="ID_E21261FAFD714F91B06C893ED19A4514"/>
        <xdr:cNvPicPr>
          <a:picLocks noChangeAspect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9580" y="133847205"/>
          <a:ext cx="794385" cy="1075690"/>
        </a:xfrm>
        <a:prstGeom prst="rect">
          <a:avLst/>
        </a:prstGeom>
      </xdr:spPr>
    </xdr:pic>
  </etc:cellImage>
  <etc:cellImage>
    <xdr:pic>
      <xdr:nvPicPr>
        <xdr:cNvPr id="224" name="ID_7AD6327EF0864BC395E621C9206C987C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11026775" y="133043295"/>
          <a:ext cx="1719580" cy="929005"/>
        </a:xfrm>
        <a:prstGeom prst="rect">
          <a:avLst/>
        </a:prstGeom>
      </xdr:spPr>
    </xdr:pic>
  </etc:cellImage>
  <etc:cellImage>
    <xdr:pic>
      <xdr:nvPicPr>
        <xdr:cNvPr id="225" name="ID_43FC04B081014B3CABB992EDCF67D1AE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1045825" y="131850765"/>
          <a:ext cx="1900555" cy="887730"/>
        </a:xfrm>
        <a:prstGeom prst="rect">
          <a:avLst/>
        </a:prstGeom>
      </xdr:spPr>
    </xdr:pic>
  </etc:cellImage>
  <etc:cellImage>
    <xdr:pic>
      <xdr:nvPicPr>
        <xdr:cNvPr id="226" name="ID_12AF338722E74CADA9CC458DABA40C3A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1045825" y="130866515"/>
          <a:ext cx="1916430" cy="929005"/>
        </a:xfrm>
        <a:prstGeom prst="rect">
          <a:avLst/>
        </a:prstGeom>
      </xdr:spPr>
    </xdr:pic>
  </etc:cellImage>
  <etc:cellImage>
    <xdr:pic>
      <xdr:nvPicPr>
        <xdr:cNvPr id="227" name="ID_1E6DB99A782D4A9DADC410A23D7146E9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1631295" y="129753360"/>
          <a:ext cx="756285" cy="1019810"/>
        </a:xfrm>
        <a:prstGeom prst="rect">
          <a:avLst/>
        </a:prstGeom>
      </xdr:spPr>
    </xdr:pic>
  </etc:cellImage>
  <etc:cellImage>
    <xdr:pic>
      <xdr:nvPicPr>
        <xdr:cNvPr id="229" name="ID_6BF4B69C6A9F46F79FFCC1B35DEA7515"/>
        <xdr:cNvPicPr>
          <a:picLocks noChangeAspect="1" noChangeArrowheads="1"/>
        </xdr:cNvPicPr>
      </xdr:nvPicPr>
      <xdr:blipFill>
        <a:blip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65255" y="134980680"/>
          <a:ext cx="990600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30" name="ID_08769CCCB346443AB0845F274ACC9790"/>
        <xdr:cNvPicPr>
          <a:picLocks noChangeAspect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3830" y="138908790"/>
          <a:ext cx="794385" cy="1075690"/>
        </a:xfrm>
        <a:prstGeom prst="rect">
          <a:avLst/>
        </a:prstGeom>
      </xdr:spPr>
    </xdr:pic>
  </etc:cellImage>
  <etc:cellImage>
    <xdr:pic>
      <xdr:nvPicPr>
        <xdr:cNvPr id="231" name="ID_FE8904B25B0C47828E5091A341450154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1631295" y="139926060"/>
          <a:ext cx="756285" cy="1019810"/>
        </a:xfrm>
        <a:prstGeom prst="rect">
          <a:avLst/>
        </a:prstGeom>
      </xdr:spPr>
    </xdr:pic>
  </etc:cellImage>
  <etc:cellImage>
    <xdr:pic>
      <xdr:nvPicPr>
        <xdr:cNvPr id="232" name="ID_03BE1ED7B63844A5B99CDA4F6D921FF4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1045825" y="141039215"/>
          <a:ext cx="1916430" cy="929005"/>
        </a:xfrm>
        <a:prstGeom prst="rect">
          <a:avLst/>
        </a:prstGeom>
      </xdr:spPr>
    </xdr:pic>
  </etc:cellImage>
  <etc:cellImage>
    <xdr:pic>
      <xdr:nvPicPr>
        <xdr:cNvPr id="233" name="ID_8AD03CDCB30C438CB487C53DF1581B0E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1045825" y="142023465"/>
          <a:ext cx="1900555" cy="887730"/>
        </a:xfrm>
        <a:prstGeom prst="rect">
          <a:avLst/>
        </a:prstGeom>
      </xdr:spPr>
    </xdr:pic>
  </etc:cellImage>
  <etc:cellImage>
    <xdr:pic>
      <xdr:nvPicPr>
        <xdr:cNvPr id="234" name="ID_28A48A9FB8444FF5A57010604135A9D5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1631295" y="143995140"/>
          <a:ext cx="756285" cy="1019810"/>
        </a:xfrm>
        <a:prstGeom prst="rect">
          <a:avLst/>
        </a:prstGeom>
      </xdr:spPr>
    </xdr:pic>
  </etc:cellImage>
  <etc:cellImage>
    <xdr:pic>
      <xdr:nvPicPr>
        <xdr:cNvPr id="235" name="ID_11DC4F4205E847A694B55D1CD46200A0"/>
        <xdr:cNvPicPr>
          <a:picLocks noChangeAspect="1"/>
        </xdr:cNvPicPr>
      </xdr:nvPicPr>
      <xdr:blipFill>
        <a:blip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1494770" y="145889980"/>
          <a:ext cx="976630" cy="1289685"/>
        </a:xfrm>
        <a:prstGeom prst="rect">
          <a:avLst/>
        </a:prstGeom>
      </xdr:spPr>
    </xdr:pic>
  </etc:cellImage>
  <etc:cellImage>
    <xdr:pic>
      <xdr:nvPicPr>
        <xdr:cNvPr id="236" name="ID_C4B0FBB80E544A1399E4B759D564306D"/>
        <xdr:cNvPicPr>
          <a:picLocks noChangeAspect="1"/>
        </xdr:cNvPicPr>
      </xdr:nvPicPr>
      <xdr:blipFill>
        <a:blip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1348085" y="146937730"/>
          <a:ext cx="979170" cy="1289685"/>
        </a:xfrm>
        <a:prstGeom prst="rect">
          <a:avLst/>
        </a:prstGeom>
      </xdr:spPr>
    </xdr:pic>
  </etc:cellImage>
  <etc:cellImage>
    <xdr:pic>
      <xdr:nvPicPr>
        <xdr:cNvPr id="237" name="ID_D48037B4DAEC4ED5A9315587FCC5BB60"/>
        <xdr:cNvPicPr>
          <a:picLocks noChangeAspect="1"/>
        </xdr:cNvPicPr>
      </xdr:nvPicPr>
      <xdr:blipFill>
        <a:blip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69370" y="148177885"/>
          <a:ext cx="1080135" cy="810260"/>
        </a:xfrm>
        <a:prstGeom prst="rect">
          <a:avLst/>
        </a:prstGeom>
      </xdr:spPr>
    </xdr:pic>
  </etc:cellImage>
  <etc:cellImage>
    <xdr:pic>
      <xdr:nvPicPr>
        <xdr:cNvPr id="238" name="ID_AEF2DD251C014D2AB7F9E5F5B6509B8F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 flipH="1">
          <a:off x="11157585" y="149164675"/>
          <a:ext cx="1564005" cy="879475"/>
        </a:xfrm>
        <a:prstGeom prst="rect">
          <a:avLst/>
        </a:prstGeom>
      </xdr:spPr>
    </xdr:pic>
  </etc:cellImage>
  <etc:cellImage>
    <xdr:pic>
      <xdr:nvPicPr>
        <xdr:cNvPr id="239" name="ID_839747225EAD4396B2FE5E46457649F1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11934190" y="936625"/>
          <a:ext cx="600710" cy="1064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0" name="ID_45865F3D457B410698CA8704BDB0F74F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11965305" y="2019300"/>
          <a:ext cx="1594485" cy="1087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1" name="ID_5E2A6E7D7CCC4063A1F2622DD30AF997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11948795" y="3070225"/>
          <a:ext cx="751205" cy="1031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82950A041A87453C862E0773F0ADECC9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12335510" y="4202430"/>
          <a:ext cx="1211580" cy="983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48A8BE24CCC646CC9AFB8F7EA14837B1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12172950" y="5229225"/>
          <a:ext cx="1198880" cy="9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406E92BD1EC84598B39B8FFDFF96671A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12315190" y="6198235"/>
          <a:ext cx="894080" cy="1062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5" name="ID_8F98E73FAC804E0F886346EF90DD13AB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12396470" y="7302500"/>
          <a:ext cx="742950" cy="1083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2579FDE790324ED8B0A74B2390340889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12103735" y="8522335"/>
          <a:ext cx="1524000" cy="1035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7" name="ID_48982C067EB449A9B0BE590CC2F1A809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12091670" y="9629140"/>
          <a:ext cx="1263015" cy="1046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B2704A19373C465383C949B02A35C34F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12386310" y="10705465"/>
          <a:ext cx="1303020" cy="1026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F2F82386F4AF40578D1556C832EFC422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11947525" y="11769725"/>
          <a:ext cx="1047750" cy="1400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00C40B495FB743F4A84AD10F032F5ECC" descr="b8f821f6-eff7-42e5-8dfe-e5d89f1b5635"/>
        <xdr:cNvPicPr>
          <a:picLocks noChangeAspect="1"/>
        </xdr:cNvPicPr>
      </xdr:nvPicPr>
      <xdr:blipFill>
        <a:blip r:embed="rId237"/>
        <a:srcRect l="7620" t="6059" r="4436" b="2280"/>
        <a:stretch>
          <a:fillRect/>
        </a:stretch>
      </xdr:blipFill>
      <xdr:spPr>
        <a:xfrm>
          <a:off x="10058400" y="1108075"/>
          <a:ext cx="1685925" cy="2346325"/>
        </a:xfrm>
        <a:prstGeom prst="rect">
          <a:avLst/>
        </a:prstGeom>
      </xdr:spPr>
    </xdr:pic>
  </etc:cellImage>
  <etc:cellImage>
    <xdr:pic>
      <xdr:nvPicPr>
        <xdr:cNvPr id="253" name="ID_1990FF6154EA43E29649C2A3504A4C29" descr="1740725765325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10009505" y="1089660"/>
          <a:ext cx="1534795" cy="875665"/>
        </a:xfrm>
        <a:prstGeom prst="rect">
          <a:avLst/>
        </a:prstGeom>
      </xdr:spPr>
    </xdr:pic>
  </etc:cellImage>
  <etc:cellImage>
    <xdr:pic>
      <xdr:nvPicPr>
        <xdr:cNvPr id="254" name="ID_E289F6EF75014D1CA0750F69D06B7DD7" descr="1740725849446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10147935" y="2072005"/>
          <a:ext cx="1621790" cy="938530"/>
        </a:xfrm>
        <a:prstGeom prst="rect">
          <a:avLst/>
        </a:prstGeom>
      </xdr:spPr>
    </xdr:pic>
  </etc:cellImage>
  <etc:cellImage>
    <xdr:pic>
      <xdr:nvPicPr>
        <xdr:cNvPr id="255" name="ID_298BACF22B92420BAF9D8235F8EBE045" descr="1740726010094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10047605" y="3175635"/>
          <a:ext cx="1515745" cy="856615"/>
        </a:xfrm>
        <a:prstGeom prst="rect">
          <a:avLst/>
        </a:prstGeom>
      </xdr:spPr>
    </xdr:pic>
  </etc:cellImage>
  <etc:cellImage>
    <xdr:pic>
      <xdr:nvPicPr>
        <xdr:cNvPr id="257" name="ID_9D95D9FEA208473D8FE64411434AB798" descr="1740381041284"/>
        <xdr:cNvPicPr>
          <a:picLocks noChangeAspect="1"/>
        </xdr:cNvPicPr>
      </xdr:nvPicPr>
      <xdr:blipFill>
        <a:blip r:embed="rId241"/>
        <a:srcRect l="15338" t="22848" r="19910" b="9476"/>
        <a:stretch>
          <a:fillRect/>
        </a:stretch>
      </xdr:blipFill>
      <xdr:spPr>
        <a:xfrm>
          <a:off x="9881870" y="936625"/>
          <a:ext cx="782955" cy="1079500"/>
        </a:xfrm>
        <a:prstGeom prst="rect">
          <a:avLst/>
        </a:prstGeom>
      </xdr:spPr>
    </xdr:pic>
  </etc:cellImage>
  <etc:cellImage>
    <xdr:pic>
      <xdr:nvPicPr>
        <xdr:cNvPr id="258" name="ID_B0F9185C135A4B059340B94BFAAD7D30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10734675" y="945515"/>
          <a:ext cx="1409700" cy="1057275"/>
        </a:xfrm>
        <a:prstGeom prst="rect">
          <a:avLst/>
        </a:prstGeom>
      </xdr:spPr>
    </xdr:pic>
  </etc:cellImage>
  <etc:cellImage>
    <xdr:pic>
      <xdr:nvPicPr>
        <xdr:cNvPr id="259" name="ID_A7A144AA52D04060968B53A6379C3F1F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10763250" y="2030730"/>
          <a:ext cx="1371600" cy="1029335"/>
        </a:xfrm>
        <a:prstGeom prst="rect">
          <a:avLst/>
        </a:prstGeom>
      </xdr:spPr>
    </xdr:pic>
  </etc:cellImage>
  <etc:cellImage>
    <xdr:pic>
      <xdr:nvPicPr>
        <xdr:cNvPr id="260" name="ID_259B8B9629B44C52B4098A6E26F8D098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11049000" y="3098165"/>
          <a:ext cx="749935" cy="999490"/>
        </a:xfrm>
        <a:prstGeom prst="rect">
          <a:avLst/>
        </a:prstGeom>
      </xdr:spPr>
    </xdr:pic>
  </etc:cellImage>
  <etc:cellImage>
    <xdr:pic>
      <xdr:nvPicPr>
        <xdr:cNvPr id="261" name="ID_B2E2BA56A9324B8D865DED551F2184E4"/>
        <xdr:cNvPicPr>
          <a:picLocks noChangeAspect="1"/>
        </xdr:cNvPicPr>
      </xdr:nvPicPr>
      <xdr:blipFill>
        <a:blip r:embed="rId245"/>
        <a:srcRect l="11412" t="16284" r="14823" b="30480"/>
        <a:stretch>
          <a:fillRect/>
        </a:stretch>
      </xdr:blipFill>
      <xdr:spPr>
        <a:xfrm>
          <a:off x="10944225" y="4164965"/>
          <a:ext cx="1058545" cy="1019175"/>
        </a:xfrm>
        <a:prstGeom prst="rect">
          <a:avLst/>
        </a:prstGeom>
      </xdr:spPr>
    </xdr:pic>
  </etc:cellImage>
  <etc:cellImage>
    <xdr:pic>
      <xdr:nvPicPr>
        <xdr:cNvPr id="262" name="ID_3FFDB0BC37B1437583BC2379CE8CB040"/>
        <xdr:cNvPicPr>
          <a:picLocks noChangeAspect="1"/>
        </xdr:cNvPicPr>
      </xdr:nvPicPr>
      <xdr:blipFill>
        <a:blip r:embed="rId246"/>
        <a:srcRect t="21154" b="18077"/>
        <a:stretch>
          <a:fillRect/>
        </a:stretch>
      </xdr:blipFill>
      <xdr:spPr>
        <a:xfrm>
          <a:off x="10858500" y="5288280"/>
          <a:ext cx="1128395" cy="915035"/>
        </a:xfrm>
        <a:prstGeom prst="rect">
          <a:avLst/>
        </a:prstGeom>
      </xdr:spPr>
    </xdr:pic>
  </etc:cellImage>
  <etc:cellImage>
    <xdr:pic>
      <xdr:nvPicPr>
        <xdr:cNvPr id="263" name="ID_77750368EA344DAC8163B457324B056B"/>
        <xdr:cNvPicPr>
          <a:picLocks noChangeAspect="1"/>
        </xdr:cNvPicPr>
      </xdr:nvPicPr>
      <xdr:blipFill>
        <a:blip r:embed="rId247"/>
        <a:srcRect l="-8308" t="12760" r="8308" b="14243"/>
        <a:stretch>
          <a:fillRect/>
        </a:stretch>
      </xdr:blipFill>
      <xdr:spPr>
        <a:xfrm>
          <a:off x="10858500" y="6275705"/>
          <a:ext cx="1095375" cy="1066165"/>
        </a:xfrm>
        <a:prstGeom prst="rect">
          <a:avLst/>
        </a:prstGeom>
      </xdr:spPr>
    </xdr:pic>
  </etc:cellImage>
  <etc:cellImage>
    <xdr:pic>
      <xdr:nvPicPr>
        <xdr:cNvPr id="264" name="ID_17CDFC1D2D8946FE90AD9E418516C6C8"/>
        <xdr:cNvPicPr>
          <a:picLocks noChangeAspect="1"/>
        </xdr:cNvPicPr>
      </xdr:nvPicPr>
      <xdr:blipFill>
        <a:blip r:embed="rId248"/>
        <a:srcRect t="24183" b="3922"/>
        <a:stretch>
          <a:fillRect/>
        </a:stretch>
      </xdr:blipFill>
      <xdr:spPr>
        <a:xfrm>
          <a:off x="10525125" y="7374255"/>
          <a:ext cx="1237615" cy="668020"/>
        </a:xfrm>
        <a:prstGeom prst="rect">
          <a:avLst/>
        </a:prstGeom>
      </xdr:spPr>
    </xdr:pic>
  </etc:cellImage>
  <etc:cellImage>
    <xdr:pic>
      <xdr:nvPicPr>
        <xdr:cNvPr id="265" name="ID_FC43327B42DF4704A1E5D32693BB3BAB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10782300" y="8555355"/>
          <a:ext cx="1421765" cy="1066800"/>
        </a:xfrm>
        <a:prstGeom prst="rect">
          <a:avLst/>
        </a:prstGeom>
      </xdr:spPr>
    </xdr:pic>
  </etc:cellImage>
  <etc:cellImage>
    <xdr:pic>
      <xdr:nvPicPr>
        <xdr:cNvPr id="266" name="ID_A79BEF526B0F4B45886AD3E2FBD4F384"/>
        <xdr:cNvPicPr>
          <a:picLocks noChangeAspect="1"/>
        </xdr:cNvPicPr>
      </xdr:nvPicPr>
      <xdr:blipFill>
        <a:blip r:embed="rId250"/>
        <a:srcRect l="24874" t="19321" r="21843" b="19223"/>
        <a:stretch>
          <a:fillRect/>
        </a:stretch>
      </xdr:blipFill>
      <xdr:spPr>
        <a:xfrm>
          <a:off x="11200765" y="9632315"/>
          <a:ext cx="686435" cy="1028700"/>
        </a:xfrm>
        <a:prstGeom prst="rect">
          <a:avLst/>
        </a:prstGeom>
      </xdr:spPr>
    </xdr:pic>
  </etc:cellImage>
  <etc:cellImage>
    <xdr:pic>
      <xdr:nvPicPr>
        <xdr:cNvPr id="267" name="ID_6FF6A402FDAA464CB4E2FCBF6EDC1D27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11087100" y="10784205"/>
          <a:ext cx="692785" cy="923925"/>
        </a:xfrm>
        <a:prstGeom prst="rect">
          <a:avLst/>
        </a:prstGeom>
      </xdr:spPr>
    </xdr:pic>
  </etc:cellImage>
  <etc:cellImage>
    <xdr:pic>
      <xdr:nvPicPr>
        <xdr:cNvPr id="268" name="ID_5989203B25B44FB08B47840EFF84738F"/>
        <xdr:cNvPicPr>
          <a:picLocks noChangeAspect="1"/>
        </xdr:cNvPicPr>
      </xdr:nvPicPr>
      <xdr:blipFill>
        <a:blip r:embed="rId252"/>
        <a:srcRect t="16951" b="12690"/>
        <a:stretch>
          <a:fillRect/>
        </a:stretch>
      </xdr:blipFill>
      <xdr:spPr>
        <a:xfrm>
          <a:off x="10944225" y="11773535"/>
          <a:ext cx="1095375" cy="1028065"/>
        </a:xfrm>
        <a:prstGeom prst="rect">
          <a:avLst/>
        </a:prstGeom>
      </xdr:spPr>
    </xdr:pic>
  </etc:cellImage>
  <etc:cellImage>
    <xdr:pic>
      <xdr:nvPicPr>
        <xdr:cNvPr id="269" name="ID_9BCF96F0971E40658D797F8AAA5364B4"/>
        <xdr:cNvPicPr/>
      </xdr:nvPicPr>
      <xdr:blipFill>
        <a:blip r:embed="rId253" r:link="rId64"/>
        <a:stretch>
          <a:fillRect/>
        </a:stretch>
      </xdr:blipFill>
      <xdr:spPr>
        <a:xfrm>
          <a:off x="10696575" y="1003300"/>
          <a:ext cx="1914525" cy="933450"/>
        </a:xfrm>
        <a:prstGeom prst="rect">
          <a:avLst/>
        </a:prstGeom>
      </xdr:spPr>
    </xdr:pic>
  </etc:cellImage>
  <etc:cellImage>
    <xdr:pic>
      <xdr:nvPicPr>
        <xdr:cNvPr id="270" name="ID_4F7DF389922A4D419B6B5D5E4516EADB"/>
        <xdr:cNvPicPr/>
      </xdr:nvPicPr>
      <xdr:blipFill>
        <a:blip r:embed="rId254" r:link="rId64"/>
        <a:stretch>
          <a:fillRect/>
        </a:stretch>
      </xdr:blipFill>
      <xdr:spPr>
        <a:xfrm>
          <a:off x="10915015" y="2003425"/>
          <a:ext cx="1219200" cy="995045"/>
        </a:xfrm>
        <a:prstGeom prst="rect">
          <a:avLst/>
        </a:prstGeom>
      </xdr:spPr>
    </xdr:pic>
  </etc:cellImage>
  <etc:cellImage>
    <xdr:pic>
      <xdr:nvPicPr>
        <xdr:cNvPr id="271" name="ID_63DF01F44A8745E394EEAC2718A2B54B"/>
        <xdr:cNvPicPr/>
      </xdr:nvPicPr>
      <xdr:blipFill>
        <a:blip r:embed="rId255" r:link="rId64"/>
        <a:stretch>
          <a:fillRect/>
        </a:stretch>
      </xdr:blipFill>
      <xdr:spPr>
        <a:xfrm>
          <a:off x="10918825" y="3151505"/>
          <a:ext cx="1297305" cy="956310"/>
        </a:xfrm>
        <a:prstGeom prst="rect">
          <a:avLst/>
        </a:prstGeom>
      </xdr:spPr>
    </xdr:pic>
  </etc:cellImage>
  <etc:cellImage>
    <xdr:pic>
      <xdr:nvPicPr>
        <xdr:cNvPr id="272" name="ID_4BDF9D454C424D70AC9AE5397DF9224F"/>
        <xdr:cNvPicPr/>
      </xdr:nvPicPr>
      <xdr:blipFill>
        <a:blip r:embed="rId256" r:link="rId64"/>
        <a:srcRect l="29858" t="14444" r="36019" b="7778"/>
        <a:stretch>
          <a:fillRect/>
        </a:stretch>
      </xdr:blipFill>
      <xdr:spPr>
        <a:xfrm>
          <a:off x="11258550" y="4203700"/>
          <a:ext cx="838200" cy="857250"/>
        </a:xfrm>
        <a:prstGeom prst="rect">
          <a:avLst/>
        </a:prstGeom>
      </xdr:spPr>
    </xdr:pic>
  </etc:cellImage>
  <etc:cellImage>
    <xdr:pic>
      <xdr:nvPicPr>
        <xdr:cNvPr id="273" name="ID_4EA2F4C47AAA457D9183287FEDA2903D"/>
        <xdr:cNvPicPr/>
      </xdr:nvPicPr>
      <xdr:blipFill>
        <a:blip r:embed="rId257" r:link="rId64"/>
        <a:stretch>
          <a:fillRect/>
        </a:stretch>
      </xdr:blipFill>
      <xdr:spPr>
        <a:xfrm>
          <a:off x="11296650" y="5309235"/>
          <a:ext cx="962025" cy="799465"/>
        </a:xfrm>
        <a:prstGeom prst="rect">
          <a:avLst/>
        </a:prstGeom>
      </xdr:spPr>
    </xdr:pic>
  </etc:cellImage>
  <etc:cellImage>
    <xdr:pic>
      <xdr:nvPicPr>
        <xdr:cNvPr id="274" name="ID_0D395D98321E4A2AB7423CCABC731766"/>
        <xdr:cNvPicPr/>
      </xdr:nvPicPr>
      <xdr:blipFill>
        <a:blip r:embed="rId258" r:link="rId64"/>
        <a:stretch>
          <a:fillRect/>
        </a:stretch>
      </xdr:blipFill>
      <xdr:spPr>
        <a:xfrm>
          <a:off x="10648950" y="6327775"/>
          <a:ext cx="2075815" cy="1171575"/>
        </a:xfrm>
        <a:prstGeom prst="rect">
          <a:avLst/>
        </a:prstGeom>
      </xdr:spPr>
    </xdr:pic>
  </etc:cellImage>
  <etc:cellImage>
    <xdr:pic>
      <xdr:nvPicPr>
        <xdr:cNvPr id="275" name="ID_94C416E86B8C4AE09DC625BA6112F1B0"/>
        <xdr:cNvPicPr/>
      </xdr:nvPicPr>
      <xdr:blipFill>
        <a:blip r:embed="rId259" r:link="rId64"/>
        <a:stretch>
          <a:fillRect/>
        </a:stretch>
      </xdr:blipFill>
      <xdr:spPr>
        <a:xfrm>
          <a:off x="10772775" y="7613650"/>
          <a:ext cx="1524000" cy="970915"/>
        </a:xfrm>
        <a:prstGeom prst="rect">
          <a:avLst/>
        </a:prstGeom>
      </xdr:spPr>
    </xdr:pic>
  </etc:cellImage>
  <etc:cellImage>
    <xdr:pic>
      <xdr:nvPicPr>
        <xdr:cNvPr id="276" name="ID_5EA312D448D143B7A3A238E39965D141"/>
        <xdr:cNvPicPr/>
      </xdr:nvPicPr>
      <xdr:blipFill>
        <a:blip r:embed="rId260" r:link="rId64"/>
        <a:stretch>
          <a:fillRect/>
        </a:stretch>
      </xdr:blipFill>
      <xdr:spPr>
        <a:xfrm>
          <a:off x="10782300" y="8689975"/>
          <a:ext cx="1723390" cy="1019175"/>
        </a:xfrm>
        <a:prstGeom prst="rect">
          <a:avLst/>
        </a:prstGeom>
      </xdr:spPr>
    </xdr:pic>
  </etc:cellImage>
  <etc:cellImage>
    <xdr:pic>
      <xdr:nvPicPr>
        <xdr:cNvPr id="277" name="ID_73BB9BDE8A8543F78AFC8365A95D4648"/>
        <xdr:cNvPicPr/>
      </xdr:nvPicPr>
      <xdr:blipFill>
        <a:blip r:embed="rId261" r:link="rId64"/>
        <a:stretch>
          <a:fillRect/>
        </a:stretch>
      </xdr:blipFill>
      <xdr:spPr>
        <a:xfrm>
          <a:off x="10629900" y="9661525"/>
          <a:ext cx="1819275" cy="1085850"/>
        </a:xfrm>
        <a:prstGeom prst="rect">
          <a:avLst/>
        </a:prstGeom>
      </xdr:spPr>
    </xdr:pic>
  </etc:cellImage>
  <etc:cellImage>
    <xdr:pic>
      <xdr:nvPicPr>
        <xdr:cNvPr id="278" name="ID_84EA77897C914CF298134416DEA55ECA"/>
        <xdr:cNvPicPr>
          <a:picLocks noChangeAspect="1" noChangeArrowheads="1"/>
        </xdr:cNvPicPr>
      </xdr:nvPicPr>
      <xdr:blipFill>
        <a:blip r:embed="rId262"/>
        <a:srcRect/>
        <a:stretch>
          <a:fillRect/>
        </a:stretch>
      </xdr:blipFill>
      <xdr:spPr>
        <a:xfrm flipH="1">
          <a:off x="9895205" y="1101725"/>
          <a:ext cx="129794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79" name="ID_DE770F73B4AF495DA83BBB26B9C52117"/>
        <xdr:cNvPicPr>
          <a:picLocks noChangeAspect="1" noChangeArrowheads="1"/>
        </xdr:cNvPicPr>
      </xdr:nvPicPr>
      <xdr:blipFill>
        <a:blip r:embed="rId263"/>
        <a:srcRect/>
        <a:stretch>
          <a:fillRect/>
        </a:stretch>
      </xdr:blipFill>
      <xdr:spPr>
        <a:xfrm>
          <a:off x="9867265" y="2041525"/>
          <a:ext cx="593725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0" name="ID_FBD75C37FB714A1CACC90A733D1FD071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9912985" y="3184525"/>
          <a:ext cx="1099185" cy="823595"/>
        </a:xfrm>
        <a:prstGeom prst="rect">
          <a:avLst/>
        </a:prstGeom>
      </xdr:spPr>
    </xdr:pic>
  </etc:cellImage>
  <etc:cellImage>
    <xdr:pic>
      <xdr:nvPicPr>
        <xdr:cNvPr id="281" name="ID_DB9FEAC8BD3B43A89E38204A4E538A4E"/>
        <xdr:cNvPicPr>
          <a:picLocks noChangeAspect="1" noChangeArrowheads="1"/>
        </xdr:cNvPicPr>
      </xdr:nvPicPr>
      <xdr:blipFill>
        <a:blip r:embed="rId265"/>
        <a:srcRect/>
        <a:stretch>
          <a:fillRect/>
        </a:stretch>
      </xdr:blipFill>
      <xdr:spPr>
        <a:xfrm>
          <a:off x="9883775" y="4175760"/>
          <a:ext cx="1669415" cy="1021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2" name="ID_6F420B90F5744C66994B8EC5C47C7CB1"/>
        <xdr:cNvPicPr>
          <a:picLocks noChangeAspect="1" noChangeArrowheads="1"/>
        </xdr:cNvPicPr>
      </xdr:nvPicPr>
      <xdr:blipFill>
        <a:blip r:embed="rId266"/>
        <a:srcRect/>
        <a:stretch>
          <a:fillRect/>
        </a:stretch>
      </xdr:blipFill>
      <xdr:spPr>
        <a:xfrm>
          <a:off x="9925685" y="5330825"/>
          <a:ext cx="1411605" cy="86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3" name="ID_7459D47214924B03B25B5A2A28289C20"/>
        <xdr:cNvPicPr>
          <a:picLocks noChangeAspect="1" noChangeArrowheads="1"/>
        </xdr:cNvPicPr>
      </xdr:nvPicPr>
      <xdr:blipFill>
        <a:blip r:embed="rId267"/>
        <a:srcRect/>
        <a:stretch>
          <a:fillRect/>
        </a:stretch>
      </xdr:blipFill>
      <xdr:spPr>
        <a:xfrm>
          <a:off x="9923145" y="6308725"/>
          <a:ext cx="1598295" cy="97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4" name="ID_6E831B11FECB4419AD2747218059CBA8"/>
        <xdr:cNvPicPr>
          <a:picLocks noChangeAspect="1" noChangeArrowheads="1"/>
        </xdr:cNvPicPr>
      </xdr:nvPicPr>
      <xdr:blipFill>
        <a:blip r:embed="rId268"/>
        <a:srcRect/>
        <a:stretch>
          <a:fillRect/>
        </a:stretch>
      </xdr:blipFill>
      <xdr:spPr>
        <a:xfrm>
          <a:off x="9892030" y="7337425"/>
          <a:ext cx="664210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5" name="ID_3B6C724F2C634FA6A69BEA6B9DABC6A7"/>
        <xdr:cNvPicPr>
          <a:picLocks noChangeAspect="1" noChangeArrowheads="1"/>
        </xdr:cNvPicPr>
      </xdr:nvPicPr>
      <xdr:blipFill>
        <a:blip r:embed="rId269"/>
        <a:srcRect/>
        <a:stretch>
          <a:fillRect/>
        </a:stretch>
      </xdr:blipFill>
      <xdr:spPr>
        <a:xfrm>
          <a:off x="9909175" y="8437245"/>
          <a:ext cx="1574165" cy="963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6" name="ID_116F030430CA406E938CF15F1A57911F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9904095" y="9528175"/>
          <a:ext cx="717550" cy="956310"/>
        </a:xfrm>
        <a:prstGeom prst="rect">
          <a:avLst/>
        </a:prstGeom>
      </xdr:spPr>
    </xdr:pic>
  </etc:cellImage>
  <etc:cellImage>
    <xdr:pic>
      <xdr:nvPicPr>
        <xdr:cNvPr id="287" name="ID_DAAB1E22C0BB414C9381E8C618ECDB7B"/>
        <xdr:cNvPicPr>
          <a:picLocks noChangeAspect="1" noChangeArrowheads="1"/>
        </xdr:cNvPicPr>
      </xdr:nvPicPr>
      <xdr:blipFill>
        <a:blip r:embed="rId271"/>
        <a:srcRect/>
        <a:stretch>
          <a:fillRect/>
        </a:stretch>
      </xdr:blipFill>
      <xdr:spPr>
        <a:xfrm>
          <a:off x="9888855" y="10614025"/>
          <a:ext cx="1473835" cy="901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0" name="ID_94EDE608457E400D8211747ABC937217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10963275" y="1971675"/>
          <a:ext cx="1105535" cy="1276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8" name="ID_5C711E9F999946C8A0274334A1C9ECF9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11177905" y="3128010"/>
          <a:ext cx="746760" cy="1144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785C9168B13942B1895910774139A43D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10998835" y="4434205"/>
          <a:ext cx="1105535" cy="1276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BD93E40B771147CFACF2435912F6404F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11113135" y="5610225"/>
          <a:ext cx="832485" cy="1172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6" name="ID_D4BE6B4AB00F497CA29418F6380C8351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11028680" y="6727825"/>
          <a:ext cx="837565" cy="116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8" name="ID_33B701B4878F47AFA563CAD6AD096251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11151235" y="8011795"/>
          <a:ext cx="878205" cy="1142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9" name="ID_0B69271E6F3748C49C59D3BBD59F84E7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11081385" y="9175115"/>
          <a:ext cx="878205" cy="1142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0" name="ID_BF9417A8F51B49F49969F57D3F5EAF84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11072495" y="10419080"/>
          <a:ext cx="1013460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1" name="ID_12C4A1F657FE4BF9ACFFB5CACF20E2CB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11038840" y="11617325"/>
          <a:ext cx="1053465" cy="1270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1D39AC724D5A4774917249A609772881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11059160" y="12871450"/>
          <a:ext cx="1050925" cy="1295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3" name="ID_2DB84D62818B42AA9F68DFF60D83BAE7"/>
        <xdr:cNvPicPr>
          <a:picLocks noChangeAspect="1"/>
        </xdr:cNvPicPr>
      </xdr:nvPicPr>
      <xdr:blipFill>
        <a:blip r:embed="rId280"/>
        <a:srcRect b="14298"/>
        <a:stretch>
          <a:fillRect/>
        </a:stretch>
      </xdr:blipFill>
      <xdr:spPr>
        <a:xfrm>
          <a:off x="11206480" y="14027150"/>
          <a:ext cx="661670" cy="1180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E67233712A6146EBBC400694F7DBC8DA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10987405" y="15329535"/>
          <a:ext cx="858520" cy="1066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5" name="ID_8D5FC936E7C34A54B970CAA26DF3AC22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>
          <a:off x="11043285" y="16414115"/>
          <a:ext cx="883920" cy="1245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6" name="ID_90BF99AF30FE430F9A9854AD56B1371A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10988675" y="17608550"/>
          <a:ext cx="974725" cy="1236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7" name="ID_05441189A12142A19050F6BBA4BAE1F3"/>
        <xdr:cNvPicPr>
          <a:picLocks noChangeAspect="1"/>
        </xdr:cNvPicPr>
      </xdr:nvPicPr>
      <xdr:blipFill>
        <a:blip r:embed="rId284"/>
        <a:stretch>
          <a:fillRect/>
        </a:stretch>
      </xdr:blipFill>
      <xdr:spPr>
        <a:xfrm>
          <a:off x="10960735" y="23992840"/>
          <a:ext cx="841375" cy="1034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8" name="ID_C9601ADB43D74E4EB33513FD1325B93A"/>
        <xdr:cNvPicPr>
          <a:picLocks noChangeAspect="1"/>
        </xdr:cNvPicPr>
      </xdr:nvPicPr>
      <xdr:blipFill>
        <a:blip r:embed="rId285"/>
        <a:stretch>
          <a:fillRect/>
        </a:stretch>
      </xdr:blipFill>
      <xdr:spPr>
        <a:xfrm>
          <a:off x="11031855" y="25143460"/>
          <a:ext cx="899160" cy="1170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9" name="ID_F27501AB18F7436FAE0D7BB0C8A6C346"/>
        <xdr:cNvPicPr>
          <a:picLocks noChangeAspect="1"/>
        </xdr:cNvPicPr>
      </xdr:nvPicPr>
      <xdr:blipFill>
        <a:blip r:embed="rId286"/>
        <a:stretch>
          <a:fillRect/>
        </a:stretch>
      </xdr:blipFill>
      <xdr:spPr>
        <a:xfrm>
          <a:off x="11065510" y="26299160"/>
          <a:ext cx="1043940" cy="1178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0" name="ID_0EAA99ECE5384FC8B4B97656E684E64A"/>
        <xdr:cNvPicPr>
          <a:picLocks noChangeAspect="1"/>
        </xdr:cNvPicPr>
      </xdr:nvPicPr>
      <xdr:blipFill>
        <a:blip r:embed="rId287"/>
        <a:stretch>
          <a:fillRect/>
        </a:stretch>
      </xdr:blipFill>
      <xdr:spPr>
        <a:xfrm>
          <a:off x="11141075" y="27520900"/>
          <a:ext cx="938530" cy="1169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BDE86108F48F45DB9663350EE26E3FD2"/>
        <xdr:cNvPicPr>
          <a:picLocks noChangeAspect="1"/>
        </xdr:cNvPicPr>
      </xdr:nvPicPr>
      <xdr:blipFill>
        <a:blip r:embed="rId288"/>
        <a:stretch>
          <a:fillRect/>
        </a:stretch>
      </xdr:blipFill>
      <xdr:spPr>
        <a:xfrm>
          <a:off x="11108055" y="28752165"/>
          <a:ext cx="967740" cy="1167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" name="ID_B9D1B244723F4B809F6BC665248C5923"/>
        <xdr:cNvPicPr>
          <a:picLocks noChangeAspect="1"/>
        </xdr:cNvPicPr>
      </xdr:nvPicPr>
      <xdr:blipFill>
        <a:blip r:embed="rId289"/>
        <a:stretch>
          <a:fillRect/>
        </a:stretch>
      </xdr:blipFill>
      <xdr:spPr>
        <a:xfrm>
          <a:off x="11031220" y="29946600"/>
          <a:ext cx="927100" cy="1103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3" name="ID_4F73D4AD746748359458336648186A08"/>
        <xdr:cNvPicPr>
          <a:picLocks noChangeAspect="1"/>
        </xdr:cNvPicPr>
      </xdr:nvPicPr>
      <xdr:blipFill>
        <a:blip r:embed="rId290"/>
        <a:stretch>
          <a:fillRect/>
        </a:stretch>
      </xdr:blipFill>
      <xdr:spPr>
        <a:xfrm>
          <a:off x="10964545" y="31184215"/>
          <a:ext cx="991870" cy="1109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4" name="ID_49C5B3AEA7564277B48FA2B30331D68F"/>
        <xdr:cNvPicPr>
          <a:picLocks noChangeAspect="1"/>
        </xdr:cNvPicPr>
      </xdr:nvPicPr>
      <xdr:blipFill>
        <a:blip r:embed="rId289"/>
        <a:stretch>
          <a:fillRect/>
        </a:stretch>
      </xdr:blipFill>
      <xdr:spPr>
        <a:xfrm>
          <a:off x="11029950" y="32409130"/>
          <a:ext cx="927100" cy="1103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36522B136C924778AECB9740426112F1"/>
        <xdr:cNvPicPr>
          <a:picLocks noChangeAspect="1"/>
        </xdr:cNvPicPr>
      </xdr:nvPicPr>
      <xdr:blipFill>
        <a:blip r:embed="rId291"/>
        <a:stretch>
          <a:fillRect/>
        </a:stretch>
      </xdr:blipFill>
      <xdr:spPr>
        <a:xfrm>
          <a:off x="11006455" y="33601660"/>
          <a:ext cx="865505" cy="1129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27197E665A75492A833D43539AF1AB55"/>
        <xdr:cNvPicPr>
          <a:picLocks noChangeAspect="1"/>
        </xdr:cNvPicPr>
      </xdr:nvPicPr>
      <xdr:blipFill>
        <a:blip r:embed="rId292"/>
        <a:stretch>
          <a:fillRect/>
        </a:stretch>
      </xdr:blipFill>
      <xdr:spPr>
        <a:xfrm>
          <a:off x="11068050" y="34876105"/>
          <a:ext cx="779145" cy="925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D7E00E660FFC40AAA1621B8D1E312D9F"/>
        <xdr:cNvPicPr>
          <a:picLocks noChangeAspect="1"/>
        </xdr:cNvPicPr>
      </xdr:nvPicPr>
      <xdr:blipFill>
        <a:blip r:embed="rId293"/>
        <a:stretch>
          <a:fillRect/>
        </a:stretch>
      </xdr:blipFill>
      <xdr:spPr>
        <a:xfrm>
          <a:off x="10943590" y="35996245"/>
          <a:ext cx="1029970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83607D6CE6394B5AB815C2596B36A528"/>
        <xdr:cNvPicPr>
          <a:picLocks noChangeAspect="1"/>
        </xdr:cNvPicPr>
      </xdr:nvPicPr>
      <xdr:blipFill>
        <a:blip r:embed="rId294"/>
        <a:stretch>
          <a:fillRect/>
        </a:stretch>
      </xdr:blipFill>
      <xdr:spPr>
        <a:xfrm>
          <a:off x="11060430" y="37184965"/>
          <a:ext cx="939800" cy="1161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9" name="ID_AFEB41F23B23484F999D225294D70F7F"/>
        <xdr:cNvPicPr>
          <a:picLocks noChangeAspect="1"/>
        </xdr:cNvPicPr>
      </xdr:nvPicPr>
      <xdr:blipFill>
        <a:blip r:embed="rId295"/>
        <a:stretch>
          <a:fillRect/>
        </a:stretch>
      </xdr:blipFill>
      <xdr:spPr>
        <a:xfrm>
          <a:off x="11055350" y="38428930"/>
          <a:ext cx="964565" cy="1142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0" name="ID_6AE36AD45D004C449A5D56E233B5D07C"/>
        <xdr:cNvPicPr>
          <a:picLocks noChangeAspect="1"/>
        </xdr:cNvPicPr>
      </xdr:nvPicPr>
      <xdr:blipFill>
        <a:blip r:embed="rId296"/>
        <a:stretch>
          <a:fillRect/>
        </a:stretch>
      </xdr:blipFill>
      <xdr:spPr>
        <a:xfrm>
          <a:off x="11139170" y="39596060"/>
          <a:ext cx="889635" cy="108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7F01BF82BDE346228DC1588108CC86E4"/>
        <xdr:cNvPicPr>
          <a:picLocks noChangeAspect="1"/>
        </xdr:cNvPicPr>
      </xdr:nvPicPr>
      <xdr:blipFill>
        <a:blip r:embed="rId297"/>
        <a:stretch>
          <a:fillRect/>
        </a:stretch>
      </xdr:blipFill>
      <xdr:spPr>
        <a:xfrm>
          <a:off x="10991215" y="40848280"/>
          <a:ext cx="828040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2" name="ID_0A7271CA700A44C2B52E4D49099D866F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9910" y="4566666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285371A18C8343FE8DAE60FBFFB138B0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9910" y="4632896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07A2E563D5C84CB899B67502FA84AC61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9910" y="4714113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5" name="ID_5E92C3043F234F0CA2E7D9086ECC4612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9910" y="4794059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54E66A68916A44E4BC3794B178FBAC23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9910" y="4854892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7" name="ID_3BF7D84A50A546D48003C31B10911735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9910" y="4937442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FE1E26D7E2204DDD8FB6CAB43BD01967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01985" y="4985829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C2716789C3904526B4AC957A72AF66AE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21035" y="5057013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45B9A5E4898C4928A53CA8693A407738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73410" y="5127244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1" name="ID_6635BAD0CD3D4A38B04A65F3A4F0EDBF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87710" y="5215572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2" name="ID_04CF328A4DD64394BF6BF8B7BB70370B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25785" y="5281041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3" name="ID_D9EFA55BD021453B87E0ABF75FF9CAD1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973435" y="5351272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4F8131E7552C498FA76DC4822FFDAA83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21035" y="5425313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5" name="ID_357D69E9ADAA4508B56EC22F3F977950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59135" y="5498401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6" name="ID_9FD199272E374BE79D005F1CF4CFA4F6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49610" y="5582920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7" name="ID_7354E17E60A34C13A4417F044A74B382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954385" y="5644578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8" name="ID_EEBFE78CD8DB40B8A19FB2EE687C8166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92460" y="5714809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9" name="ID_B0E48F5AE8FB4E64B9F13D9C7531C55D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68660" y="5788850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0" name="ID_BDC79B45FF0642EF8D473762BFCEC478"/>
        <xdr:cNvPicPr>
          <a:picLocks noChangeAspect="1"/>
        </xdr:cNvPicPr>
      </xdr:nvPicPr>
      <xdr:blipFill>
        <a:blip r:embed="rId299"/>
        <a:stretch>
          <a:fillRect/>
        </a:stretch>
      </xdr:blipFill>
      <xdr:spPr>
        <a:xfrm>
          <a:off x="10811510" y="58695590"/>
          <a:ext cx="1242695" cy="792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1" name="ID_1151341035CD4B2FB43DB0120A37DA5F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21035" y="5954966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2" name="ID_DF4B952BEAF244B59323DBFFF1D157BD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11510" y="6019990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3" name="ID_149211C9BCE34D25909CFE6ED454951D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92460" y="6093079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4" name="ID_478A6B27129E4B90939A9545894A0DDA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916285" y="6168072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5" name="ID_C6A68C2D05994502BD9E2A32B3355C12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01985" y="6234493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E01016F58CAB46C2B5141AD7D61A4940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49610" y="6310439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7" name="ID_E80CDF86822E44A88B40B8F87AE33CEB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21035" y="6379718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8" name="ID_BCC52DFD12EC419787E46180C5AE2AF2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97235" y="6472809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9" name="ID_A371428BE5BA4E99A31956A8B1CB3507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63885" y="6524942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0" name="ID_42D0A26FC7374DD2BB8FDBD3C1550C58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97235" y="6611366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1" name="ID_AA5FF4BEDF224B658758F4E9A595C344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66755" y="66863595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2" name="ID_E1E068B9AF9A4FC0993E286C593A829C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847705" y="6748018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A2C407818F934DEEB1D3DC7744ECD358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952480" y="6827774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" name="ID_6730FB9053124A3182C23536A29AD3AA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07370" y="6902069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948245BCBE2E4D2B8C38D4C95EDF7EEB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43565" y="6994398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6" name="ID_F3FF88D0F80E42CEA46686420EDC0B76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10770870" y="70716140"/>
          <a:ext cx="124269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7" name="ID_8C2949D25386461BAA5B1EA9CB08DA95"/>
        <xdr:cNvPicPr>
          <a:picLocks noChangeAspect="1"/>
        </xdr:cNvPicPr>
      </xdr:nvPicPr>
      <xdr:blipFill>
        <a:blip r:embed="rId300"/>
        <a:stretch>
          <a:fillRect/>
        </a:stretch>
      </xdr:blipFill>
      <xdr:spPr>
        <a:xfrm>
          <a:off x="10579100" y="71238745"/>
          <a:ext cx="1751965" cy="838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8" name="ID_7A3F6587AEB349C8BC4C914B85BC4BD7"/>
        <xdr:cNvPicPr>
          <a:picLocks noChangeAspect="1"/>
        </xdr:cNvPicPr>
      </xdr:nvPicPr>
      <xdr:blipFill>
        <a:blip r:embed="rId301"/>
        <a:stretch>
          <a:fillRect/>
        </a:stretch>
      </xdr:blipFill>
      <xdr:spPr>
        <a:xfrm>
          <a:off x="10569575" y="72033130"/>
          <a:ext cx="1986280" cy="972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9" name="ID_3F9BA41031C64A83884D4D571D8C3E21"/>
        <xdr:cNvPicPr>
          <a:picLocks noChangeAspect="1"/>
        </xdr:cNvPicPr>
      </xdr:nvPicPr>
      <xdr:blipFill>
        <a:blip r:embed="rId302"/>
        <a:stretch>
          <a:fillRect/>
        </a:stretch>
      </xdr:blipFill>
      <xdr:spPr>
        <a:xfrm>
          <a:off x="10645140" y="73202800"/>
          <a:ext cx="1735455" cy="72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0" name="ID_57BBBE84661C417C8A6872A1048449BD"/>
        <xdr:cNvPicPr>
          <a:picLocks noChangeAspect="1"/>
        </xdr:cNvPicPr>
      </xdr:nvPicPr>
      <xdr:blipFill>
        <a:blip r:embed="rId303"/>
        <a:stretch>
          <a:fillRect/>
        </a:stretch>
      </xdr:blipFill>
      <xdr:spPr>
        <a:xfrm>
          <a:off x="10568940" y="73840340"/>
          <a:ext cx="1956435" cy="843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1" name="ID_10260397BB4A457B8609790A39A76AF1"/>
        <xdr:cNvPicPr>
          <a:picLocks noChangeAspect="1"/>
        </xdr:cNvPicPr>
      </xdr:nvPicPr>
      <xdr:blipFill>
        <a:blip r:embed="rId304"/>
        <a:stretch>
          <a:fillRect/>
        </a:stretch>
      </xdr:blipFill>
      <xdr:spPr>
        <a:xfrm>
          <a:off x="11148695" y="74640440"/>
          <a:ext cx="760095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2" name="ID_C14E55694C6449F4A9055837B23C3EEC"/>
        <xdr:cNvPicPr>
          <a:picLocks noChangeAspect="1"/>
        </xdr:cNvPicPr>
      </xdr:nvPicPr>
      <xdr:blipFill>
        <a:blip r:embed="rId305"/>
        <a:stretch>
          <a:fillRect/>
        </a:stretch>
      </xdr:blipFill>
      <xdr:spPr>
        <a:xfrm>
          <a:off x="11165205" y="75745975"/>
          <a:ext cx="797560" cy="1111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3" name="ID_6AB62C5BFFC4421E998B4FD87B801EE6"/>
        <xdr:cNvPicPr>
          <a:picLocks noChangeAspect="1"/>
        </xdr:cNvPicPr>
      </xdr:nvPicPr>
      <xdr:blipFill>
        <a:blip r:embed="rId306"/>
        <a:stretch>
          <a:fillRect/>
        </a:stretch>
      </xdr:blipFill>
      <xdr:spPr>
        <a:xfrm>
          <a:off x="11105515" y="76881355"/>
          <a:ext cx="859155" cy="1154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4" name="ID_BDB61AD264D0490C83AD0E9108D254A7"/>
        <xdr:cNvPicPr>
          <a:picLocks noChangeAspect="1"/>
        </xdr:cNvPicPr>
      </xdr:nvPicPr>
      <xdr:blipFill>
        <a:blip r:embed="rId307"/>
        <a:stretch>
          <a:fillRect/>
        </a:stretch>
      </xdr:blipFill>
      <xdr:spPr>
        <a:xfrm>
          <a:off x="11215370" y="78195805"/>
          <a:ext cx="689610" cy="929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5" name="ID_F27F274219B64B82B1921DEC5B9DD511"/>
        <xdr:cNvPicPr>
          <a:picLocks noChangeAspect="1"/>
        </xdr:cNvPicPr>
      </xdr:nvPicPr>
      <xdr:blipFill>
        <a:blip r:embed="rId308"/>
        <a:stretch>
          <a:fillRect/>
        </a:stretch>
      </xdr:blipFill>
      <xdr:spPr>
        <a:xfrm>
          <a:off x="11184890" y="79127985"/>
          <a:ext cx="821690" cy="1001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6" name="ID_82F42E8D1DB8464CB0243C808D312024"/>
        <xdr:cNvPicPr>
          <a:picLocks noChangeAspect="1"/>
        </xdr:cNvPicPr>
      </xdr:nvPicPr>
      <xdr:blipFill>
        <a:blip r:embed="rId309"/>
        <a:stretch>
          <a:fillRect/>
        </a:stretch>
      </xdr:blipFill>
      <xdr:spPr>
        <a:xfrm>
          <a:off x="11148060" y="80052545"/>
          <a:ext cx="843915" cy="1142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7" name="ID_6BCE12136A1444DEB12DC2ACD8EAFBA7"/>
        <xdr:cNvPicPr>
          <a:picLocks noChangeAspect="1"/>
        </xdr:cNvPicPr>
      </xdr:nvPicPr>
      <xdr:blipFill>
        <a:blip r:embed="rId310"/>
        <a:stretch>
          <a:fillRect/>
        </a:stretch>
      </xdr:blipFill>
      <xdr:spPr>
        <a:xfrm>
          <a:off x="11148060" y="81309845"/>
          <a:ext cx="817880" cy="1052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8" name="ID_C55536F3FAA54167A09555BFCF6782D0"/>
        <xdr:cNvPicPr>
          <a:picLocks noChangeAspect="1"/>
        </xdr:cNvPicPr>
      </xdr:nvPicPr>
      <xdr:blipFill>
        <a:blip r:embed="rId311"/>
        <a:stretch>
          <a:fillRect/>
        </a:stretch>
      </xdr:blipFill>
      <xdr:spPr>
        <a:xfrm>
          <a:off x="11090910" y="82356960"/>
          <a:ext cx="842010" cy="979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9" name="ID_5F98C6D3C4504083BFD73EC0A57F6851"/>
        <xdr:cNvPicPr>
          <a:picLocks noChangeAspect="1"/>
        </xdr:cNvPicPr>
      </xdr:nvPicPr>
      <xdr:blipFill>
        <a:blip r:embed="rId312"/>
        <a:stretch>
          <a:fillRect/>
        </a:stretch>
      </xdr:blipFill>
      <xdr:spPr>
        <a:xfrm>
          <a:off x="11241405" y="83338670"/>
          <a:ext cx="812165" cy="1131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0" name="ID_AE75ED0176AA48CEB33B35A3148EEB86"/>
        <xdr:cNvPicPr>
          <a:picLocks noChangeAspect="1"/>
        </xdr:cNvPicPr>
      </xdr:nvPicPr>
      <xdr:blipFill>
        <a:blip r:embed="rId313"/>
        <a:stretch>
          <a:fillRect/>
        </a:stretch>
      </xdr:blipFill>
      <xdr:spPr>
        <a:xfrm>
          <a:off x="11233785" y="84620100"/>
          <a:ext cx="737870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1" name="ID_BC0274BDBA1B4416A5F4ED1559C7AA88"/>
        <xdr:cNvPicPr>
          <a:picLocks noChangeAspect="1"/>
        </xdr:cNvPicPr>
      </xdr:nvPicPr>
      <xdr:blipFill>
        <a:blip r:embed="rId314"/>
        <a:stretch>
          <a:fillRect/>
        </a:stretch>
      </xdr:blipFill>
      <xdr:spPr>
        <a:xfrm>
          <a:off x="11096625" y="85533865"/>
          <a:ext cx="762635" cy="984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A5C986A85E0043188BE99D0005E25560"/>
        <xdr:cNvPicPr>
          <a:picLocks noChangeAspect="1"/>
        </xdr:cNvPicPr>
      </xdr:nvPicPr>
      <xdr:blipFill>
        <a:blip r:embed="rId315"/>
        <a:stretch>
          <a:fillRect/>
        </a:stretch>
      </xdr:blipFill>
      <xdr:spPr>
        <a:xfrm>
          <a:off x="11043920" y="86505415"/>
          <a:ext cx="870585" cy="1054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3" name="ID_6204785D408541D6A9B824AB4649F4AC"/>
        <xdr:cNvPicPr>
          <a:picLocks noChangeAspect="1"/>
        </xdr:cNvPicPr>
      </xdr:nvPicPr>
      <xdr:blipFill>
        <a:blip r:embed="rId316"/>
        <a:stretch>
          <a:fillRect/>
        </a:stretch>
      </xdr:blipFill>
      <xdr:spPr>
        <a:xfrm>
          <a:off x="11008360" y="87538560"/>
          <a:ext cx="794385" cy="1112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4" name="ID_CFF055E0AA094D20B23CD840243A0DC1"/>
        <xdr:cNvPicPr>
          <a:picLocks noChangeAspect="1"/>
        </xdr:cNvPicPr>
      </xdr:nvPicPr>
      <xdr:blipFill>
        <a:blip r:embed="rId317"/>
        <a:stretch>
          <a:fillRect/>
        </a:stretch>
      </xdr:blipFill>
      <xdr:spPr>
        <a:xfrm>
          <a:off x="11087735" y="88793320"/>
          <a:ext cx="690880" cy="924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D479B8036366436A8D7667CCE5AF63D5"/>
        <xdr:cNvPicPr>
          <a:picLocks noChangeAspect="1"/>
        </xdr:cNvPicPr>
      </xdr:nvPicPr>
      <xdr:blipFill>
        <a:blip r:embed="rId318"/>
        <a:stretch>
          <a:fillRect/>
        </a:stretch>
      </xdr:blipFill>
      <xdr:spPr>
        <a:xfrm>
          <a:off x="11066145" y="89621995"/>
          <a:ext cx="900430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6" name="ID_3DD79233FE364417951225B46E60A9E7"/>
        <xdr:cNvPicPr>
          <a:picLocks noChangeAspect="1"/>
        </xdr:cNvPicPr>
      </xdr:nvPicPr>
      <xdr:blipFill>
        <a:blip r:embed="rId319"/>
        <a:stretch>
          <a:fillRect/>
        </a:stretch>
      </xdr:blipFill>
      <xdr:spPr>
        <a:xfrm>
          <a:off x="11228705" y="90854530"/>
          <a:ext cx="837565" cy="1207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7" name="ID_D66FE0A61B02429B92CEA7A029EFB524"/>
        <xdr:cNvPicPr>
          <a:picLocks noChangeAspect="1"/>
        </xdr:cNvPicPr>
      </xdr:nvPicPr>
      <xdr:blipFill>
        <a:blip r:embed="rId320"/>
        <a:stretch>
          <a:fillRect/>
        </a:stretch>
      </xdr:blipFill>
      <xdr:spPr>
        <a:xfrm>
          <a:off x="11127740" y="92165805"/>
          <a:ext cx="775970" cy="965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EF5A26965C0D402798861E9178DA13D9"/>
        <xdr:cNvPicPr>
          <a:picLocks noChangeAspect="1"/>
        </xdr:cNvPicPr>
      </xdr:nvPicPr>
      <xdr:blipFill>
        <a:blip r:embed="rId321"/>
        <a:stretch>
          <a:fillRect/>
        </a:stretch>
      </xdr:blipFill>
      <xdr:spPr>
        <a:xfrm>
          <a:off x="11010265" y="93059250"/>
          <a:ext cx="871220" cy="110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31A4DA43F20A47AFB0AE187B134BB66E"/>
        <xdr:cNvPicPr>
          <a:picLocks noChangeAspect="1"/>
        </xdr:cNvPicPr>
      </xdr:nvPicPr>
      <xdr:blipFill>
        <a:blip r:embed="rId322"/>
        <a:stretch>
          <a:fillRect/>
        </a:stretch>
      </xdr:blipFill>
      <xdr:spPr>
        <a:xfrm>
          <a:off x="10911840" y="94318455"/>
          <a:ext cx="1007110" cy="855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FC3AB91B98864C29A67EA71E7902B46E"/>
        <xdr:cNvPicPr>
          <a:picLocks noChangeAspect="1"/>
        </xdr:cNvPicPr>
      </xdr:nvPicPr>
      <xdr:blipFill>
        <a:blip r:embed="rId323"/>
        <a:srcRect l="15628" t="8109" r="21731" b="26848"/>
        <a:stretch>
          <a:fillRect/>
        </a:stretch>
      </xdr:blipFill>
      <xdr:spPr>
        <a:xfrm>
          <a:off x="11181080" y="95229680"/>
          <a:ext cx="654685" cy="899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9D8D86C243E64B588FE39C662E710A96"/>
        <xdr:cNvPicPr>
          <a:picLocks noChangeAspect="1"/>
        </xdr:cNvPicPr>
      </xdr:nvPicPr>
      <xdr:blipFill>
        <a:blip r:embed="rId324"/>
        <a:srcRect l="20069" t="19885" r="31501" b="36291"/>
        <a:stretch>
          <a:fillRect/>
        </a:stretch>
      </xdr:blipFill>
      <xdr:spPr>
        <a:xfrm>
          <a:off x="11044555" y="96045655"/>
          <a:ext cx="639445" cy="103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18A1A29CC08F496495EE71A9F3A2F9AB"/>
        <xdr:cNvPicPr>
          <a:picLocks noChangeAspect="1"/>
        </xdr:cNvPicPr>
      </xdr:nvPicPr>
      <xdr:blipFill>
        <a:blip r:embed="rId325"/>
        <a:stretch>
          <a:fillRect/>
        </a:stretch>
      </xdr:blipFill>
      <xdr:spPr>
        <a:xfrm>
          <a:off x="11083290" y="97158175"/>
          <a:ext cx="762000" cy="931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273B89BBA0FD4E1897601CF6668248C4"/>
        <xdr:cNvPicPr>
          <a:picLocks noChangeAspect="1"/>
        </xdr:cNvPicPr>
      </xdr:nvPicPr>
      <xdr:blipFill>
        <a:blip r:embed="rId326"/>
        <a:stretch>
          <a:fillRect/>
        </a:stretch>
      </xdr:blipFill>
      <xdr:spPr>
        <a:xfrm>
          <a:off x="10968990" y="98094800"/>
          <a:ext cx="1182370" cy="847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DFE0FEB4282449A7AC7F3F677C47F24B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87355" y="98933635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1CEC62A6620B42798833CF7AC55745C9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477500" y="9984867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6" name="ID_BEAD7C1470DB42CC9FBB86CB35697EA6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477500" y="10084435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7" name="ID_0E0CF9FCBD2C45E089D9117B47C47A93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477500" y="10184003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8" name="ID_42D5F0388C5044DD9C9D256BDD8614FC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477500" y="10283571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9" name="ID_585A5908E0E54052ABA703E3BD7F658B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687050" y="103941245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0" name="ID_D56BC43B8C8F44A7B222611B4995D0E1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82275" y="104879775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1" name="ID_138622F4557F44DABC4896166629A80F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658475" y="105932605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2" name="ID_A0AF16B77DA341E08D2AD325F742E57D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34650" y="10688066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3" name="ID_EBDDD1C7F46940A992195BC0A868D6BB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53700" y="10785729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4" name="ID_611DCD1A80B1431C98AB77985701E95B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63225" y="10887202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5" name="ID_679DDD6F1229443185CDC7F971EE254B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639425" y="109896275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6" name="ID_45007752E5974E3EA7C74115EC99971C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620375" y="11090148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7" name="ID_2C361ED2F89941A68EB36C3447CBC83A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91800" y="11185906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8" name="ID_B5595AE3B8D24422945191CE04FB1F17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639425" y="11289284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9" name="ID_BDBA6164CA104E5897B782039DBCEBFF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601325" y="11386947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0" name="ID_9CE6C8962B8E42BFB42BA0A2AEE28555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82275" y="11484610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914DA7C0989A4BD19CA7095DFAFA10F2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553700" y="115803680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2" name="ID_E9B29721B51E455FA671C47607420DAD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10715625" y="116885085"/>
          <a:ext cx="17526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3" name="ID_C1216400294D4D7BB9AE229ADED6DC96"/>
        <xdr:cNvPicPr>
          <a:picLocks noChangeAspect="1"/>
        </xdr:cNvPicPr>
      </xdr:nvPicPr>
      <xdr:blipFill>
        <a:blip r:embed="rId328"/>
        <a:stretch>
          <a:fillRect/>
        </a:stretch>
      </xdr:blipFill>
      <xdr:spPr>
        <a:xfrm>
          <a:off x="10860405" y="117835680"/>
          <a:ext cx="1445260" cy="1065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4" name="ID_389680A0F24E446CBD283CEF09E87C28"/>
        <xdr:cNvPicPr>
          <a:picLocks noChangeAspect="1"/>
        </xdr:cNvPicPr>
      </xdr:nvPicPr>
      <xdr:blipFill>
        <a:blip r:embed="rId329"/>
        <a:stretch>
          <a:fillRect/>
        </a:stretch>
      </xdr:blipFill>
      <xdr:spPr>
        <a:xfrm>
          <a:off x="10634345" y="119037100"/>
          <a:ext cx="1671955" cy="907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5" name="ID_575D420698C24647939F2637DCDFF0AB"/>
        <xdr:cNvPicPr>
          <a:picLocks noChangeAspect="1"/>
        </xdr:cNvPicPr>
      </xdr:nvPicPr>
      <xdr:blipFill>
        <a:blip r:embed="rId330"/>
        <a:srcRect l="16396" t="22294" r="9191" b="-181"/>
        <a:stretch>
          <a:fillRect/>
        </a:stretch>
      </xdr:blipFill>
      <xdr:spPr>
        <a:xfrm>
          <a:off x="10060940" y="4974590"/>
          <a:ext cx="1282065" cy="1036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6" name="ID_B60A302EEFE9419280169F740CC5E195" descr="导视牌"/>
        <xdr:cNvPicPr>
          <a:picLocks noChangeAspect="1"/>
        </xdr:cNvPicPr>
      </xdr:nvPicPr>
      <xdr:blipFill>
        <a:blip r:embed="rId331"/>
        <a:stretch>
          <a:fillRect/>
        </a:stretch>
      </xdr:blipFill>
      <xdr:spPr>
        <a:xfrm>
          <a:off x="10194925" y="5965825"/>
          <a:ext cx="951230" cy="1036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7" name="ID_906EC4DAF24C4E349F634DE5D36E280E"/>
        <xdr:cNvPicPr>
          <a:picLocks noChangeAspect="1"/>
        </xdr:cNvPicPr>
      </xdr:nvPicPr>
      <xdr:blipFill>
        <a:blip r:embed="rId332"/>
        <a:stretch>
          <a:fillRect/>
        </a:stretch>
      </xdr:blipFill>
      <xdr:spPr>
        <a:xfrm>
          <a:off x="9911715" y="2816225"/>
          <a:ext cx="1790700" cy="105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9" name="ID_79AA636766D24D45B73802825D9D01F1"/>
        <xdr:cNvPicPr>
          <a:picLocks noChangeAspect="1"/>
        </xdr:cNvPicPr>
      </xdr:nvPicPr>
      <xdr:blipFill>
        <a:blip r:embed="rId333"/>
        <a:stretch>
          <a:fillRect/>
        </a:stretch>
      </xdr:blipFill>
      <xdr:spPr>
        <a:xfrm>
          <a:off x="10477500" y="1821815"/>
          <a:ext cx="732790" cy="1094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0" name="ID_768B1C4A0F4744E2B30ECBEAFA6A89CC"/>
        <xdr:cNvPicPr>
          <a:picLocks noChangeAspect="1"/>
        </xdr:cNvPicPr>
      </xdr:nvPicPr>
      <xdr:blipFill>
        <a:blip r:embed="rId334"/>
        <a:srcRect r="27237"/>
        <a:stretch>
          <a:fillRect/>
        </a:stretch>
      </xdr:blipFill>
      <xdr:spPr>
        <a:xfrm>
          <a:off x="9924415" y="723265"/>
          <a:ext cx="1750695" cy="91630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<sst xmlns="http://schemas.openxmlformats.org/spreadsheetml/2006/main" count="2022" uniqueCount="916">
  <si>
    <t>各院（部）含校徽校名的文化设施变更统计表</t>
  </si>
  <si>
    <t>序号</t>
  </si>
  <si>
    <t>书院</t>
  </si>
  <si>
    <t>数量</t>
  </si>
  <si>
    <t>总价</t>
  </si>
  <si>
    <t>合计</t>
  </si>
  <si>
    <t>备注</t>
  </si>
  <si>
    <t>光明眼科学院</t>
  </si>
  <si>
    <t>多为翻新项目，含人工安装</t>
  </si>
  <si>
    <t>护理学院</t>
  </si>
  <si>
    <t>基础医学院</t>
  </si>
  <si>
    <t>健康管理学院</t>
  </si>
  <si>
    <t>康复医学院</t>
  </si>
  <si>
    <t>口腔技术学院</t>
  </si>
  <si>
    <t>临床学院</t>
  </si>
  <si>
    <t>马克思主义学院</t>
  </si>
  <si>
    <t>生物与基础医学实验教学中心</t>
  </si>
  <si>
    <t>体育部</t>
  </si>
  <si>
    <t>外国语学院</t>
  </si>
  <si>
    <t>药学院</t>
  </si>
  <si>
    <t>医学检验学院</t>
  </si>
  <si>
    <t>医学影像学院</t>
  </si>
  <si>
    <t>智能医学工程学院</t>
  </si>
  <si>
    <t>生命科学技术学院</t>
  </si>
  <si>
    <r>
      <rPr>
        <i/>
        <u/>
        <sz val="18"/>
        <rFont val="方正小标宋简体"/>
        <charset val="134"/>
      </rPr>
      <t>光明眼科学院</t>
    </r>
    <r>
      <rPr>
        <sz val="18"/>
        <rFont val="方正小标宋简体"/>
        <charset val="134"/>
      </rPr>
      <t xml:space="preserve"> 变更含校徽校名的文化设施统计表</t>
    </r>
  </si>
  <si>
    <t>名称</t>
  </si>
  <si>
    <t>尺寸及材质</t>
  </si>
  <si>
    <t>所在位置</t>
  </si>
  <si>
    <t>单价（元）</t>
  </si>
  <si>
    <t>总价（元）</t>
  </si>
  <si>
    <t>照片式样</t>
  </si>
  <si>
    <t>施工工艺</t>
  </si>
  <si>
    <t>规章制度牌</t>
  </si>
  <si>
    <t>90*60cm 玻璃加厚</t>
  </si>
  <si>
    <t>实验室</t>
  </si>
  <si>
    <t>车贴局部覆盖校名标识眉头处</t>
  </si>
  <si>
    <t>门牌</t>
  </si>
  <si>
    <t>30*25cm 亚克力</t>
  </si>
  <si>
    <t>实验室/办公室</t>
  </si>
  <si>
    <t>车贴整体覆盖</t>
  </si>
  <si>
    <t>学院门头logo</t>
  </si>
  <si>
    <t>院系正门</t>
  </si>
  <si>
    <t>局部更换上方院徽</t>
  </si>
  <si>
    <t>院标</t>
  </si>
  <si>
    <t>直径50cm 亚克力</t>
  </si>
  <si>
    <t>一楼大厅</t>
  </si>
  <si>
    <t>文化墙</t>
  </si>
  <si>
    <t>塑料/亚克力</t>
  </si>
  <si>
    <t>院系一楼大厅</t>
  </si>
  <si>
    <t>车贴局部覆盖校名处</t>
  </si>
  <si>
    <t>展板</t>
  </si>
  <si>
    <t>90*60cm KT板</t>
  </si>
  <si>
    <t>公示栏</t>
  </si>
  <si>
    <t>240*120cm 亚克力</t>
  </si>
  <si>
    <t>车贴局部覆盖两侧校名标识蓝色部分</t>
  </si>
  <si>
    <t>办公座签</t>
  </si>
  <si>
    <t>30*15cm 亚克力</t>
  </si>
  <si>
    <t>办公室</t>
  </si>
  <si>
    <t>车贴局部覆盖上方眉头</t>
  </si>
  <si>
    <t>资产一览表</t>
  </si>
  <si>
    <t>36*25cm 亚克力</t>
  </si>
  <si>
    <t>车贴局部覆盖下方校名标识处</t>
  </si>
  <si>
    <t>卫生间门牌</t>
  </si>
  <si>
    <t>22*22cm亚克力</t>
  </si>
  <si>
    <t>卫生间</t>
  </si>
  <si>
    <t>车贴局部覆盖校名标识绿色部分</t>
  </si>
  <si>
    <t>警示牌</t>
  </si>
  <si>
    <t>40*18cm 亚克力</t>
  </si>
  <si>
    <t>实验室/走廊</t>
  </si>
  <si>
    <t>车贴局部覆盖下方校名标识黄色部分</t>
  </si>
  <si>
    <t>消防疏散示意图</t>
  </si>
  <si>
    <t>60*40cm 亚克力</t>
  </si>
  <si>
    <t>走廊</t>
  </si>
  <si>
    <t>车贴局部覆盖上方校名标识眉头</t>
  </si>
  <si>
    <t>110报警牌</t>
  </si>
  <si>
    <t>40*30cm 亚克力</t>
  </si>
  <si>
    <t>车贴整体画面覆盖</t>
  </si>
  <si>
    <t>无烟学校</t>
  </si>
  <si>
    <t>40*20cm 亚克力</t>
  </si>
  <si>
    <t>绿色校园</t>
  </si>
  <si>
    <t>30*20cm 亚克力</t>
  </si>
  <si>
    <t>门贴</t>
  </si>
  <si>
    <t>70*12/82*12/75*12cm各一 塑料</t>
  </si>
  <si>
    <t>新做</t>
  </si>
  <si>
    <t>实验室安全信息牌</t>
  </si>
  <si>
    <t>车贴局部覆盖上方眉头处</t>
  </si>
  <si>
    <t>费用合计</t>
  </si>
  <si>
    <r>
      <rPr>
        <i/>
        <u/>
        <sz val="18"/>
        <rFont val="方正小标宋简体"/>
        <charset val="134"/>
      </rPr>
      <t xml:space="preserve"> 护理学院</t>
    </r>
    <r>
      <rPr>
        <sz val="18"/>
        <rFont val="方正小标宋简体"/>
        <charset val="134"/>
      </rPr>
      <t xml:space="preserve"> 变更含校徽校名的文化设施统计表</t>
    </r>
  </si>
  <si>
    <t>护理学院公告栏</t>
  </si>
  <si>
    <t>亚克力0.8*1.6m</t>
  </si>
  <si>
    <t>护理学院四楼办公区</t>
  </si>
  <si>
    <t>使用车贴局部覆盖眉头</t>
  </si>
  <si>
    <t>护理学院办公室门牌(护理学院教授办公室2个/人文护理教研室/基础护理教研室/护理实践教学中心/社区与老年护理教研室/助产教研室/临床护理教研室/护理学院会议室/护理学院研修室/护理学院院长办公室/护理学院副院长办公室/护理学院党总支(副)书记办公室/护理学院办公室)</t>
  </si>
  <si>
    <t>亚克力25cm*30cm</t>
  </si>
  <si>
    <t>护理学院一楼门牌(讨论室/教师休息室/治疗室/虚拟仿真实训室/多功能厅/刷手间/手术室/更衣室/外科护理实训室/急救技能实训室/内科病房/外科病房/重症监护室)</t>
  </si>
  <si>
    <t>笃学楼护理学院一楼</t>
  </si>
  <si>
    <t>护理学院三楼门牌(讨论室/教师休息室/储藏室两个/技能训练室/基础护理实训室(一)-(六)/中央监控室/)</t>
  </si>
  <si>
    <t>笃学楼护理学院三楼</t>
  </si>
  <si>
    <t>护理学院四楼门牌(教师休息室/储藏室/心肺听诊室/健康评估实训室(一)-(五)/人文护理实训室（一）/人文护理实训室（二)/心理咨询室/护理研究室/读书吧）</t>
  </si>
  <si>
    <t>笃学楼护理学院四楼</t>
  </si>
  <si>
    <t>走廊信息牌</t>
  </si>
  <si>
    <t>铁制1.2m*0.2m</t>
  </si>
  <si>
    <t>使用车贴整体覆盖</t>
  </si>
  <si>
    <t>笃学楼护理学院二楼</t>
  </si>
  <si>
    <t>信息牌</t>
  </si>
  <si>
    <t>亚克力77*42cm</t>
  </si>
  <si>
    <t>笃学楼护理学院一到四楼</t>
  </si>
  <si>
    <t>护理学院办公室文化墙（高校教师职业行为文化准则/理论课教师岗位职责/党政干部廉洁勤政守则/实验教师岗位职责）</t>
  </si>
  <si>
    <t>玻璃 0.9m*0.6m</t>
  </si>
  <si>
    <t>护理学院四楼人文护理教研室/基础护理教研室/助产教研室</t>
  </si>
  <si>
    <t>实验室信息牌四种(实验室安全工作条例/实验技术人员岗位职责/实验教师岗位职责/实验室守则)每种各三块</t>
  </si>
  <si>
    <t>笃学楼护理学院一楼（外科实训室、急救实训室、更衣室）</t>
  </si>
  <si>
    <t>文化设施维修维护管理办法</t>
  </si>
  <si>
    <t>笃学楼护理学院一楼走廊</t>
  </si>
  <si>
    <t>Sim3G及SimEsential操作流程及安全防护措施</t>
  </si>
  <si>
    <t>笃学楼护理学院一楼重症监护室</t>
  </si>
  <si>
    <t>消防安全管理制度、实验室安全管理制度、实验室安全应急预案</t>
  </si>
  <si>
    <t>实验室信息牌四种(实验室安全工作条例/实验技术人员岗位职责/实验教师岗位职责/实验室守则)</t>
  </si>
  <si>
    <t>Harvey操作流程及安全防护措施</t>
  </si>
  <si>
    <t>simbaby操作流程及防护措施</t>
  </si>
  <si>
    <t>护理学院大厅立式楼层引导牌</t>
  </si>
  <si>
    <t>使用车贴局部覆盖下方校名标识橙色部分</t>
  </si>
  <si>
    <t>手术室、外科刷手流程图</t>
  </si>
  <si>
    <t>笃学楼护理学院一楼刷手间</t>
  </si>
  <si>
    <t>止血、包扎、固定</t>
  </si>
  <si>
    <t>笃学楼护理学院一楼外科实训室</t>
  </si>
  <si>
    <t>护理学院大门口宣传栏</t>
  </si>
  <si>
    <t>笃学楼护理学院一楼门口</t>
  </si>
  <si>
    <t>使用车贴局部覆盖两侧校名标识蓝色部分</t>
  </si>
  <si>
    <t>笃学楼护理学院一楼7二楼5三楼7四楼5</t>
  </si>
  <si>
    <t>78*59cm,亚克力</t>
  </si>
  <si>
    <t>笃学楼护理学院一到四楼8
康复四楼护理学院办公区域2</t>
  </si>
  <si>
    <t>无烟学校牌</t>
  </si>
  <si>
    <t>亚克力0.2*0.4m</t>
  </si>
  <si>
    <t>笃学楼护理学院一楼1二楼2三楼3四楼3</t>
  </si>
  <si>
    <t>使用车贴整体覆盖画面</t>
  </si>
  <si>
    <t>安全警示牌(当心火灾等)</t>
  </si>
  <si>
    <t>笃学楼护理学院一楼2二楼2三楼2四楼2</t>
  </si>
  <si>
    <t>使用车贴局部覆盖下方校名标识黄色部分</t>
  </si>
  <si>
    <t>安全警示牌(请关好水电门窗)</t>
  </si>
  <si>
    <t>报警电话监控警示牌</t>
  </si>
  <si>
    <t>亚克力30cm*30cm</t>
  </si>
  <si>
    <t>笃学楼护理学院一楼2二楼1</t>
  </si>
  <si>
    <t>亚克力24*36cm</t>
  </si>
  <si>
    <t>使用车贴局部覆盖校名标识</t>
  </si>
  <si>
    <t>禁止吸烟</t>
  </si>
  <si>
    <t>笃学楼护理学院二楼1三楼1</t>
  </si>
  <si>
    <t>职业技能等级认定技能考核考场规则</t>
  </si>
  <si>
    <t>0.9m*0.6m</t>
  </si>
  <si>
    <t>笃学楼护理学院二2/三楼1</t>
  </si>
  <si>
    <t>使用车贴局部覆盖上方眉头</t>
  </si>
  <si>
    <t>高级分娩机转模型操作流程及防护措施</t>
  </si>
  <si>
    <t>七部洗手牌</t>
  </si>
  <si>
    <t>30X50cm</t>
  </si>
  <si>
    <t>制作pvc新画面</t>
  </si>
  <si>
    <r>
      <rPr>
        <u/>
        <sz val="18"/>
        <rFont val="方正小标宋简体"/>
        <charset val="134"/>
      </rPr>
      <t xml:space="preserve">基础医学院 </t>
    </r>
    <r>
      <rPr>
        <sz val="18"/>
        <rFont val="方正小标宋简体"/>
        <charset val="134"/>
      </rPr>
      <t>变更含校徽校名的文化设施统计表</t>
    </r>
  </si>
  <si>
    <t>办公室门牌</t>
  </si>
  <si>
    <t>学校标准件</t>
  </si>
  <si>
    <t>基础楼A区3楼</t>
  </si>
  <si>
    <t>制度牌</t>
  </si>
  <si>
    <t>公告栏</t>
  </si>
  <si>
    <t>1.2*2.4米PVC覆膜印刷</t>
  </si>
  <si>
    <t>教授办公室门牌</t>
  </si>
  <si>
    <t>15*20cm亚克力材质</t>
  </si>
  <si>
    <t>导视牌</t>
  </si>
  <si>
    <r>
      <rPr>
        <i/>
        <sz val="18"/>
        <rFont val="方正小标宋简体"/>
        <charset val="134"/>
      </rPr>
      <t xml:space="preserve"> </t>
    </r>
    <r>
      <rPr>
        <i/>
        <u/>
        <sz val="18"/>
        <rFont val="方正小标宋简体"/>
        <charset val="134"/>
      </rPr>
      <t>健康管理学院</t>
    </r>
    <r>
      <rPr>
        <sz val="18"/>
        <rFont val="方正小标宋简体"/>
        <charset val="134"/>
      </rPr>
      <t xml:space="preserve"> 变更含校徽校名的文化设施统计表</t>
    </r>
  </si>
  <si>
    <t>健康管理学院教师办公室</t>
  </si>
  <si>
    <t>亚克力</t>
  </si>
  <si>
    <t>新乡校区,综合楼,3层,301,健康管理学院教师办公室</t>
  </si>
  <si>
    <t>车贴局部覆盖上方校名标识处</t>
  </si>
  <si>
    <t>新乡校区,综合楼,3层,302,健康管理学院教师办公室</t>
  </si>
  <si>
    <t>健康管理学院副院长办公室</t>
  </si>
  <si>
    <t>新乡校区,综合楼,3层,312,健康管理学院副院长办公室</t>
  </si>
  <si>
    <t>健康管理学院院长办公室</t>
  </si>
  <si>
    <t>新乡校区,综合楼,3层,310,健康管理学院院长办公室</t>
  </si>
  <si>
    <t>健康评估室</t>
  </si>
  <si>
    <t>平原校区,医工楼,2层,C205,健康评估室</t>
  </si>
  <si>
    <t>健康管理实训室</t>
  </si>
  <si>
    <t>平原校区,基础楼,1层,A105,健康管理实训室</t>
  </si>
  <si>
    <t>新乡校区,餐厅,3层,健康管理实训室</t>
  </si>
  <si>
    <t>实验室库房</t>
  </si>
  <si>
    <t>新乡校区,餐厅,3层,实验室库房</t>
  </si>
  <si>
    <r>
      <rPr>
        <u/>
        <sz val="18"/>
        <rFont val="方正小标宋简体"/>
        <charset val="134"/>
      </rPr>
      <t xml:space="preserve">康复医学院 </t>
    </r>
    <r>
      <rPr>
        <sz val="18"/>
        <rFont val="方正小标宋简体"/>
        <charset val="134"/>
      </rPr>
      <t>变更含校徽校名的文化设施统计表</t>
    </r>
  </si>
  <si>
    <t>院系公告栏</t>
  </si>
  <si>
    <t>240*120cm
pvc+车贴</t>
  </si>
  <si>
    <t>康复综合实训中心一楼</t>
  </si>
  <si>
    <t>安全信息牌</t>
  </si>
  <si>
    <t>80*40cm
亚克力</t>
  </si>
  <si>
    <t>康复综合实训中心一楼、二楼、三楼</t>
  </si>
  <si>
    <t>车贴局部覆盖上方校名标识眉头处</t>
  </si>
  <si>
    <t>院系介绍牌</t>
  </si>
  <si>
    <t>500*120cm
泡沫板材</t>
  </si>
  <si>
    <t>优秀教师简介牌</t>
  </si>
  <si>
    <t>240*120cm
泡沫板材</t>
  </si>
  <si>
    <t>专业介绍展板</t>
  </si>
  <si>
    <t>康复综合实训中心一楼、二楼</t>
  </si>
  <si>
    <t>办公室、会议室、实验室门牌</t>
  </si>
  <si>
    <t>25*30cm
亚克力</t>
  </si>
  <si>
    <t>院系各类制度牌</t>
  </si>
  <si>
    <t>60*90cm
钢化玻璃</t>
  </si>
  <si>
    <t>康复综合实训中心一楼、三楼</t>
  </si>
  <si>
    <t>走廊室内文化、名人牌</t>
  </si>
  <si>
    <t>50*80cm
钢化玻璃</t>
  </si>
  <si>
    <t>楼道导引牌（吊顶）</t>
  </si>
  <si>
    <t>25*120cm
铁质</t>
  </si>
  <si>
    <t>院系导引牌（落地）</t>
  </si>
  <si>
    <t>185*60cm
铁质</t>
  </si>
  <si>
    <t>禁止吸烟提示牌</t>
  </si>
  <si>
    <t>20*30cm
亚克力</t>
  </si>
  <si>
    <t>通道示意图</t>
  </si>
  <si>
    <t>60*40cm
亚克力</t>
  </si>
  <si>
    <t>报警电话指示牌</t>
  </si>
  <si>
    <t>40*30cm
亚克力</t>
  </si>
  <si>
    <t>温馨提示牌</t>
  </si>
  <si>
    <t>50*40cm
泡沫</t>
  </si>
  <si>
    <t>车贴局部覆盖</t>
  </si>
  <si>
    <t>无烟校园指示牌</t>
  </si>
  <si>
    <t>20*40cm
亚克力</t>
  </si>
  <si>
    <t>楼层信息指示牌</t>
  </si>
  <si>
    <t>25*35cm塑料</t>
  </si>
  <si>
    <t>医工楼五楼电梯</t>
  </si>
  <si>
    <t>实验室门牌</t>
  </si>
  <si>
    <t>30*25cm亚克力</t>
  </si>
  <si>
    <t>假肢实训中心</t>
  </si>
  <si>
    <t>公示牌</t>
  </si>
  <si>
    <t>假肢矫形实训中心501-510</t>
  </si>
  <si>
    <t>60*90cm钢化玻璃</t>
  </si>
  <si>
    <t>假肢矫形实训中心503、505、506</t>
  </si>
  <si>
    <t>标示牌</t>
  </si>
  <si>
    <t>假肢矫形实训中心501</t>
  </si>
  <si>
    <t>水、电、门窗警示牌</t>
  </si>
  <si>
    <t>直径11cm亚克力</t>
  </si>
  <si>
    <t>20*40cm亚克力</t>
  </si>
  <si>
    <t>假肢矫形实训中心东面楼梯间</t>
  </si>
  <si>
    <t>30*40cm亚克力</t>
  </si>
  <si>
    <t>假肢矫形实训中心</t>
  </si>
  <si>
    <t>五楼位置信息标示牌</t>
  </si>
  <si>
    <t>50*75*25cm亚克力</t>
  </si>
  <si>
    <t>假肢矫形实训中心东西楼梯间</t>
  </si>
  <si>
    <t>资产一览表指示牌</t>
  </si>
  <si>
    <t>36*24cm
亚克力</t>
  </si>
  <si>
    <t>注意安全提示牌</t>
  </si>
  <si>
    <t>40*20cm
亚克力</t>
  </si>
  <si>
    <t>25*35cm
亚克力</t>
  </si>
  <si>
    <t>实验室器械展示牌</t>
  </si>
  <si>
    <r>
      <rPr>
        <i/>
        <sz val="18"/>
        <rFont val="方正小标宋简体"/>
        <charset val="134"/>
      </rPr>
      <t xml:space="preserve"> </t>
    </r>
    <r>
      <rPr>
        <i/>
        <u/>
        <sz val="18"/>
        <rFont val="方正小标宋简体"/>
        <charset val="134"/>
      </rPr>
      <t>口腔技术学院</t>
    </r>
    <r>
      <rPr>
        <sz val="18"/>
        <rFont val="方正小标宋简体"/>
        <charset val="134"/>
      </rPr>
      <t xml:space="preserve"> 变更含校徽校名的文化设施统计表</t>
    </r>
  </si>
  <si>
    <t>钢化玻璃</t>
  </si>
  <si>
    <t>四楼、五楼实验室、办公室</t>
  </si>
  <si>
    <t>门牌（含姓名牌）</t>
  </si>
  <si>
    <t>名牌</t>
  </si>
  <si>
    <t>四楼教授办公室</t>
  </si>
  <si>
    <t>院系大厅文化</t>
  </si>
  <si>
    <t>四楼、五楼大厅</t>
  </si>
  <si>
    <t>亚克力制作校名字5个替换原校名</t>
  </si>
  <si>
    <t>四楼走廊</t>
  </si>
  <si>
    <t>四楼、五楼实验室、办公室、走廊</t>
  </si>
  <si>
    <t>四楼、五楼实验室</t>
  </si>
  <si>
    <t>玻璃提示带</t>
  </si>
  <si>
    <t>40米</t>
  </si>
  <si>
    <t>五楼实验室</t>
  </si>
  <si>
    <t>楼层指示牌</t>
  </si>
  <si>
    <t>金属</t>
  </si>
  <si>
    <t>四楼、五楼楼梯间</t>
  </si>
  <si>
    <r>
      <rPr>
        <i/>
        <sz val="18"/>
        <rFont val="方正小标宋简体"/>
        <charset val="134"/>
      </rPr>
      <t xml:space="preserve"> </t>
    </r>
    <r>
      <rPr>
        <i/>
        <u/>
        <sz val="18"/>
        <rFont val="方正小标宋简体"/>
        <charset val="134"/>
      </rPr>
      <t>临床学院</t>
    </r>
    <r>
      <rPr>
        <sz val="18"/>
        <rFont val="方正小标宋简体"/>
        <charset val="134"/>
      </rPr>
      <t xml:space="preserve"> 变更含校徽校名的文化设施统计表</t>
    </r>
  </si>
  <si>
    <t>电源挡板</t>
  </si>
  <si>
    <t>长74.3cm
宽60.3cm</t>
  </si>
  <si>
    <t>问学楼五楼9个
六楼2个</t>
  </si>
  <si>
    <t>2.4*1.2米</t>
  </si>
  <si>
    <t>综合楼1楼</t>
  </si>
  <si>
    <t>1*1.5米</t>
  </si>
  <si>
    <t>综合楼2楼</t>
  </si>
  <si>
    <t>消防安全制度</t>
  </si>
  <si>
    <t>长90cm
宽60cm</t>
  </si>
  <si>
    <t>问学楼五楼30个
六楼10个</t>
  </si>
  <si>
    <t>办公室安全管理制度</t>
  </si>
  <si>
    <t>三会一课制度</t>
  </si>
  <si>
    <t>学生实验守则</t>
  </si>
  <si>
    <t>问学楼五楼4个
六楼2个</t>
  </si>
  <si>
    <t>实验室安全制度</t>
  </si>
  <si>
    <t>仪器设备</t>
  </si>
  <si>
    <t>实验室内学生守则</t>
  </si>
  <si>
    <t>90×60</t>
  </si>
  <si>
    <t>问学楼1-8实验室、心肺2</t>
  </si>
  <si>
    <t>问学楼4楼教休室墙上</t>
  </si>
  <si>
    <t>电梯贴纸</t>
  </si>
  <si>
    <t>长210cm
宽90cm</t>
  </si>
  <si>
    <t>问学楼五楼1个</t>
  </si>
  <si>
    <t>整体车贴覆盖</t>
  </si>
  <si>
    <t>电梯门贴纸</t>
  </si>
  <si>
    <t>/</t>
  </si>
  <si>
    <t>问学楼1-6楼</t>
  </si>
  <si>
    <t>指引牌粘版</t>
  </si>
  <si>
    <t>（内）长119.5cm
宽74.2cm
（外）长224cm
宽59.2cm</t>
  </si>
  <si>
    <t>问学楼五楼3个
六楼2个</t>
  </si>
  <si>
    <t>120x74.2</t>
  </si>
  <si>
    <t>问学楼4楼</t>
  </si>
  <si>
    <t>教师团队简介</t>
  </si>
  <si>
    <t>长181cm
宽80cm</t>
  </si>
  <si>
    <t>长30.5cm
宽24.8cm</t>
  </si>
  <si>
    <t>问学楼五楼6个（换鞋区、洗手间、男更衣室、女更衣室、准备室、教师备课室）
六楼4个（准备室、麻醉学实训室、麻醉学设备室、穿刺一）</t>
  </si>
  <si>
    <t>男女更衣室</t>
  </si>
  <si>
    <t>30×25</t>
  </si>
  <si>
    <t>问学楼ICU</t>
  </si>
  <si>
    <t>换鞋区</t>
  </si>
  <si>
    <t>洗手间</t>
  </si>
  <si>
    <t>临床诊断训练室8</t>
  </si>
  <si>
    <t>29.8×24.7</t>
  </si>
  <si>
    <t>问学楼第8 7实验室门口墙上</t>
  </si>
  <si>
    <t>穿刺室一 二</t>
  </si>
  <si>
    <t>走廊电源挡板</t>
  </si>
  <si>
    <t>长46.5cm
宽50.6cm</t>
  </si>
  <si>
    <t>电箱</t>
  </si>
  <si>
    <t>61.2x49.3</t>
  </si>
  <si>
    <t>56.5×46.5</t>
  </si>
  <si>
    <t>问学楼4楼教休室外走廊</t>
  </si>
  <si>
    <t>外科洗刷手（洗手区）</t>
  </si>
  <si>
    <t>长150cm
宽79.5cm</t>
  </si>
  <si>
    <t>外科打结</t>
  </si>
  <si>
    <t>长150cm
宽80cm</t>
  </si>
  <si>
    <t>缝合</t>
  </si>
  <si>
    <t>换药</t>
  </si>
  <si>
    <t>导尿</t>
  </si>
  <si>
    <t>静脉穿刺、腰椎穿刺、气管内插管、椎管内插管、吸氧、臂丛N麻</t>
  </si>
  <si>
    <t>问学楼六楼6个</t>
  </si>
  <si>
    <t>关好水电门窗</t>
  </si>
  <si>
    <t>长40cm
宽18cm</t>
  </si>
  <si>
    <t>问学楼五楼7个</t>
  </si>
  <si>
    <t>安全提示牌（洗手区）</t>
  </si>
  <si>
    <t>长18cm
宽41cm</t>
  </si>
  <si>
    <t>水电门窗指示牌</t>
  </si>
  <si>
    <t>18×39.3</t>
  </si>
  <si>
    <t>问学楼4楼6楼</t>
  </si>
  <si>
    <t>“请关好水电门窗”
提示牌</t>
  </si>
  <si>
    <t>请勿私自使用、酒精危险标牌</t>
  </si>
  <si>
    <t>长18cm
宽40cm</t>
  </si>
  <si>
    <t>问学楼六楼1个</t>
  </si>
  <si>
    <t>车贴局部覆盖下方校名标识蓝色部分</t>
  </si>
  <si>
    <t>消防疏散牌（走廊）</t>
  </si>
  <si>
    <t>长40cm
宽60cm</t>
  </si>
  <si>
    <t xml:space="preserve">问学楼五楼3个
</t>
  </si>
  <si>
    <t>60×39.5</t>
  </si>
  <si>
    <t>问学楼消防疏散</t>
  </si>
  <si>
    <r>
      <rPr>
        <sz val="14"/>
        <rFont val="宋体"/>
        <charset val="134"/>
      </rPr>
      <t>问学楼4楼6楼</t>
    </r>
    <r>
      <rPr>
        <sz val="11"/>
        <rFont val="宋体"/>
        <charset val="134"/>
        <scheme val="minor"/>
      </rPr>
      <t xml:space="preserve"> </t>
    </r>
  </si>
  <si>
    <t>七步洗手法（洗手区）</t>
  </si>
  <si>
    <t>长80.2cm
宽149.5cm</t>
  </si>
  <si>
    <t>问学楼五楼1个
六楼2个</t>
  </si>
  <si>
    <t>车贴局部覆盖下方校名标识眉头处</t>
  </si>
  <si>
    <t>七步洗手法</t>
  </si>
  <si>
    <t>长45cm
宽30cm</t>
  </si>
  <si>
    <t>问学楼四、
五、
六楼女厕、男厕各2个</t>
  </si>
  <si>
    <t>四大名人简介</t>
  </si>
  <si>
    <t>长80cm
宽40cm</t>
  </si>
  <si>
    <t>长40cm
宽20cm</t>
  </si>
  <si>
    <t>问学楼五楼2个
六楼3个</t>
  </si>
  <si>
    <t>19.5×39.5</t>
  </si>
  <si>
    <t>问学楼4楼6楼厕所门口</t>
  </si>
  <si>
    <t>绿色校园禁止吸烟</t>
  </si>
  <si>
    <t>长29.5cm
宽19.3cm</t>
  </si>
  <si>
    <t>问学楼五楼3个</t>
  </si>
  <si>
    <t>禁烟牌</t>
  </si>
  <si>
    <t>29.1×19.1</t>
  </si>
  <si>
    <t>问学楼4楼 6楼</t>
  </si>
  <si>
    <t>长30cm
宽40cm</t>
  </si>
  <si>
    <t>步梯楼层指示牌</t>
  </si>
  <si>
    <t>问学楼六楼2个</t>
  </si>
  <si>
    <t>固定资产一览表</t>
  </si>
  <si>
    <t>长36.8cm
宽26.8cm</t>
  </si>
  <si>
    <t>问学楼五楼24个
六楼10个</t>
  </si>
  <si>
    <t>36.9×27.1</t>
  </si>
  <si>
    <t>问学楼1-8实验室、大厅2个、教休室1、心肺2</t>
  </si>
  <si>
    <t>廉政文化宣传栏</t>
  </si>
  <si>
    <t>81×60</t>
  </si>
  <si>
    <t>问学楼4楼办公室，教休室</t>
  </si>
  <si>
    <t>35.7x23.7</t>
  </si>
  <si>
    <t>问学楼4楼+6楼</t>
  </si>
  <si>
    <t>学习岛桌子</t>
  </si>
  <si>
    <t>27.5×40</t>
  </si>
  <si>
    <t>问学楼4楼学习岛</t>
  </si>
  <si>
    <t>150×80</t>
  </si>
  <si>
    <t>问学楼4楼走廊</t>
  </si>
  <si>
    <t>60×80</t>
  </si>
  <si>
    <t>生活垃圾指示牌</t>
  </si>
  <si>
    <t>19.8×29.8</t>
  </si>
  <si>
    <r>
      <rPr>
        <sz val="14"/>
        <rFont val="宋体"/>
        <charset val="134"/>
      </rPr>
      <t>问学楼第8</t>
    </r>
    <r>
      <rPr>
        <sz val="14"/>
        <rFont val="宋体"/>
        <charset val="134"/>
        <scheme val="minor"/>
      </rPr>
      <t xml:space="preserve">  7实验室白柜子后</t>
    </r>
  </si>
  <si>
    <t>医疗废弃物指示牌</t>
  </si>
  <si>
    <t>问学楼第七 八实验室后墙上</t>
  </si>
  <si>
    <t>言行规范指示牌</t>
  </si>
  <si>
    <t>30x40</t>
  </si>
  <si>
    <t>问学楼四楼楼层指示牌旁边</t>
  </si>
  <si>
    <t>名人名言</t>
  </si>
  <si>
    <t>40×80</t>
  </si>
  <si>
    <t>问学楼4楼大厅</t>
  </si>
  <si>
    <t>文化墙校徽、院徽</t>
  </si>
  <si>
    <t>圆形院徽30cm、40cm、60cm各1；院徽40*60cm1个；校徽加字样120cm1个</t>
  </si>
  <si>
    <t>局部覆盖</t>
  </si>
  <si>
    <t>医学誓词校徽及字样</t>
  </si>
  <si>
    <t>约2.8×0.3米</t>
  </si>
  <si>
    <t>问学楼1楼内</t>
  </si>
  <si>
    <t>亚克力校名字局部更换</t>
  </si>
  <si>
    <t>问学楼一楼校徽及字样</t>
  </si>
  <si>
    <t>约3.5×0.5米</t>
  </si>
  <si>
    <t>问学楼1楼外</t>
  </si>
  <si>
    <t>直立告示牌</t>
  </si>
  <si>
    <t>2*1米</t>
  </si>
  <si>
    <t>主干路两旁</t>
  </si>
  <si>
    <t>画面更换</t>
  </si>
  <si>
    <r>
      <rPr>
        <i/>
        <u/>
        <sz val="18"/>
        <rFont val="方正小标宋简体"/>
        <charset val="134"/>
      </rPr>
      <t>马克思主义学院</t>
    </r>
    <r>
      <rPr>
        <sz val="18"/>
        <rFont val="方正小标宋简体"/>
        <charset val="134"/>
      </rPr>
      <t xml:space="preserve"> 变更含校徽校名的文化设施统计表</t>
    </r>
  </si>
  <si>
    <t>马院学院简介牌</t>
  </si>
  <si>
    <t>1.7*2米；亚格力</t>
  </si>
  <si>
    <t>行政楼马院走廊</t>
  </si>
  <si>
    <t>亚克力、车贴局部覆盖</t>
  </si>
  <si>
    <t>马院荣誉牌</t>
  </si>
  <si>
    <t>2*2</t>
  </si>
  <si>
    <t>新做含校名标识牌</t>
  </si>
  <si>
    <t>办公室管理制度牌</t>
  </si>
  <si>
    <t>20*80</t>
  </si>
  <si>
    <t>办公室墙</t>
  </si>
  <si>
    <t>局部覆盖上方校名标识眉头处</t>
  </si>
  <si>
    <r>
      <rPr>
        <i/>
        <u/>
        <sz val="18"/>
        <rFont val="方正小标宋简体"/>
        <charset val="134"/>
      </rPr>
      <t>生物与基础医学实验教学中心</t>
    </r>
    <r>
      <rPr>
        <sz val="18"/>
        <rFont val="方正小标宋简体"/>
        <charset val="134"/>
      </rPr>
      <t xml:space="preserve"> 变更含校徽校名的文化设施统计表</t>
    </r>
  </si>
  <si>
    <t>宣传展板</t>
  </si>
  <si>
    <t>亚克力60cm*90cm</t>
  </si>
  <si>
    <t>车贴局部覆盖两侧校名标识</t>
  </si>
  <si>
    <t>实验室内张贴栏</t>
  </si>
  <si>
    <t>78cm*42cm</t>
  </si>
  <si>
    <t>C204 C205 C206 C207 C208 C210 C211 C213 C214 C215 C216 C217 C218各1块</t>
  </si>
  <si>
    <t>车贴局部覆盖上方蓝色眉头</t>
  </si>
  <si>
    <t>名单栏（三联）</t>
  </si>
  <si>
    <t>亚克力75cm*27cm</t>
  </si>
  <si>
    <t>C405/C406/C407/C408/C409/C411/C412、
B413/B414/B415/B416/B417/B419/B420/B422
C410/B418/C415</t>
  </si>
  <si>
    <t>指路牌</t>
  </si>
  <si>
    <t>亚克力120cm*21.5cm</t>
  </si>
  <si>
    <t>东走廊口、厕所口</t>
  </si>
  <si>
    <t>指引牌</t>
  </si>
  <si>
    <t>亚克力120cm*30cm</t>
  </si>
  <si>
    <t>三楼B区走廊、三楼C区走廊</t>
  </si>
  <si>
    <t>三楼B区厕所口</t>
  </si>
  <si>
    <t>校名变更</t>
  </si>
  <si>
    <t>只变更校名中英文</t>
  </si>
  <si>
    <t>一楼B区东头</t>
  </si>
  <si>
    <t>局部更换校名部分，亚克力</t>
  </si>
  <si>
    <t>三楼B区东头</t>
  </si>
  <si>
    <t>索引牌</t>
  </si>
  <si>
    <t>KT 59.8cm*89.6cm</t>
  </si>
  <si>
    <t>楼梯口</t>
  </si>
  <si>
    <t>车贴局部覆盖校名标识处</t>
  </si>
  <si>
    <t>5*1m，2.5*1m</t>
  </si>
  <si>
    <t>B203附近</t>
  </si>
  <si>
    <t>车贴局部副高眉头</t>
  </si>
  <si>
    <t>现代生物学实验室（一）-（五）</t>
  </si>
  <si>
    <t>亚克力30cm*25cm</t>
  </si>
  <si>
    <t>B205 B206 B208 B209 B210门牌</t>
  </si>
  <si>
    <t>生物工程学实验室（一）-（五）</t>
  </si>
  <si>
    <t>B211 B212 B217 B219 B220门牌</t>
  </si>
  <si>
    <t>实验室办公室</t>
  </si>
  <si>
    <t>B204</t>
  </si>
  <si>
    <t>实验准备室（二）</t>
  </si>
  <si>
    <t>B215</t>
  </si>
  <si>
    <t>药品试剂室（一）</t>
  </si>
  <si>
    <t>B213</t>
  </si>
  <si>
    <t>科技创新实验室</t>
  </si>
  <si>
    <t>B214</t>
  </si>
  <si>
    <t>总电泳室</t>
  </si>
  <si>
    <t>B216</t>
  </si>
  <si>
    <t>总分光光度计室</t>
  </si>
  <si>
    <t>B218</t>
  </si>
  <si>
    <t>总PCR室</t>
  </si>
  <si>
    <t>教师休息室</t>
  </si>
  <si>
    <t>B201</t>
  </si>
  <si>
    <t>党员活动室</t>
  </si>
  <si>
    <t>B207</t>
  </si>
  <si>
    <t>B101</t>
  </si>
  <si>
    <t>实验室主任办公室</t>
  </si>
  <si>
    <t>C220门口</t>
  </si>
  <si>
    <t>C219门口</t>
  </si>
  <si>
    <t>实验室准备室</t>
  </si>
  <si>
    <t>C217、C212门口</t>
  </si>
  <si>
    <t>C204 C205 C206 C207 C208 C210 C211 C213 C214 C215 C216 C217 C218门牌</t>
  </si>
  <si>
    <t>仓库</t>
  </si>
  <si>
    <t>C209门口</t>
  </si>
  <si>
    <t>病原生物学实验室(2-8实验室)</t>
  </si>
  <si>
    <t>C405/C406/C407/C408/C409/C411/C412</t>
  </si>
  <si>
    <t>数码互动实验室（1-8实验室）</t>
  </si>
  <si>
    <t>B413/B414/B415/B416/B417/B419/B420/B422</t>
  </si>
  <si>
    <t>C421-1</t>
  </si>
  <si>
    <t>C420</t>
  </si>
  <si>
    <t>C419</t>
  </si>
  <si>
    <t>准备室</t>
  </si>
  <si>
    <t>C410/C415/C420/B418</t>
  </si>
  <si>
    <t>仪器室</t>
  </si>
  <si>
    <t>C413</t>
  </si>
  <si>
    <t>灭菌室</t>
  </si>
  <si>
    <t>C414</t>
  </si>
  <si>
    <t>标本室</t>
  </si>
  <si>
    <t>C425</t>
  </si>
  <si>
    <t>切片室</t>
  </si>
  <si>
    <t>C421</t>
  </si>
  <si>
    <t>菌种室</t>
  </si>
  <si>
    <t>C422</t>
  </si>
  <si>
    <t>切片扫描室</t>
  </si>
  <si>
    <t>C417</t>
  </si>
  <si>
    <t>化学与生物化学实验室（一）-（十一）</t>
  </si>
  <si>
    <t>B311、B312、B313、B314、B316、B317、B319、B322、C308、C309、C310门牌</t>
  </si>
  <si>
    <t>总试剂室</t>
  </si>
  <si>
    <t>B421</t>
  </si>
  <si>
    <t>总低值易耗室</t>
  </si>
  <si>
    <t>B423</t>
  </si>
  <si>
    <t>总危险试剂室</t>
  </si>
  <si>
    <t>B424</t>
  </si>
  <si>
    <t>总危险品室</t>
  </si>
  <si>
    <t>C307</t>
  </si>
  <si>
    <t>总准备室（七）</t>
  </si>
  <si>
    <t>C311</t>
  </si>
  <si>
    <t>分子实验操作室</t>
  </si>
  <si>
    <t>C312</t>
  </si>
  <si>
    <t>总玻璃仪器室</t>
  </si>
  <si>
    <t>B321</t>
  </si>
  <si>
    <t>生化仪器室</t>
  </si>
  <si>
    <t>C416</t>
  </si>
  <si>
    <t>普通仪器室（二）</t>
  </si>
  <si>
    <t>B318</t>
  </si>
  <si>
    <t>B321东</t>
  </si>
  <si>
    <t>制药工程学实验室（一）-（六）</t>
  </si>
  <si>
    <t>B307 B308 B310 B408 B409 B412门牌</t>
  </si>
  <si>
    <t>实验室办公室（五）</t>
  </si>
  <si>
    <t>B324</t>
  </si>
  <si>
    <t>实验准备室（六）</t>
  </si>
  <si>
    <t>B315</t>
  </si>
  <si>
    <t>普通仪器室（五）-（六）</t>
  </si>
  <si>
    <t>B401 B404</t>
  </si>
  <si>
    <t>精密仪器室（一）-（二）</t>
  </si>
  <si>
    <t>B309 B407</t>
  </si>
  <si>
    <t>总玻璃仪器室（二）</t>
  </si>
  <si>
    <t>B426</t>
  </si>
  <si>
    <t>总维修室</t>
  </si>
  <si>
    <t>B402</t>
  </si>
  <si>
    <t>B203、B202</t>
  </si>
  <si>
    <t>B207东墙</t>
  </si>
  <si>
    <t>车贴局部覆盖制度牌眉头处</t>
  </si>
  <si>
    <t>实验室技术人员岗位职责</t>
  </si>
  <si>
    <t>B204 B205 B206 B208 B209 B210 B211 B212 B214 B216 B217 B218 B219 B220 C110</t>
  </si>
  <si>
    <t>实验教师岗位职责</t>
  </si>
  <si>
    <t>实验室主任岗位职责</t>
  </si>
  <si>
    <t>实验室守则</t>
  </si>
  <si>
    <t xml:space="preserve"> B205 B206 B208 B209 B210 B211 B212 B214 B216 B217 B218 B219 B220 C110</t>
  </si>
  <si>
    <t>发酵工程实训室技术人员岗位职责</t>
  </si>
  <si>
    <t>B115 B117 B119</t>
  </si>
  <si>
    <t>发酵工程实训室安全工作条例</t>
  </si>
  <si>
    <t>发酵工程实训室学生守则</t>
  </si>
  <si>
    <t>发酵工程实训室实验教师岗位职责</t>
  </si>
  <si>
    <t>文化设施管理方法牌</t>
  </si>
  <si>
    <t>西楼梯口</t>
  </si>
  <si>
    <t>B107 B108 B109 B110 B111 B113 B116 B118</t>
  </si>
  <si>
    <t>实验室技术人员
岗位职责</t>
  </si>
  <si>
    <t>C219</t>
  </si>
  <si>
    <t>C220</t>
  </si>
  <si>
    <t>C204 C205 C206 C207 C208 C210 C211 C213 C214 C215 C216 C217 C218各4块</t>
  </si>
  <si>
    <t>B307 B308 B309 B310 B315 B401 B402 B404 B407 B408 B409 B412  B324</t>
  </si>
  <si>
    <t xml:space="preserve">B307 B308 B309 B310 B315 B401 B402 B404 B407 B408 B409 B412 B324 </t>
  </si>
  <si>
    <t xml:space="preserve">B307 B308 B309 B310 B315 B401 B402 B404 B407 B408 B409 B412  </t>
  </si>
  <si>
    <t>实验室安全工作条例</t>
  </si>
  <si>
    <t>B203</t>
  </si>
  <si>
    <t>名单栏</t>
  </si>
  <si>
    <t>亚克力37cm*27cm</t>
  </si>
  <si>
    <t>C405/C406/C407/C408/C409/C411/C412、
B413/B414/B415/B416/B417/B419/B420/B422</t>
  </si>
  <si>
    <t>B205 B206 B208 B209 B210 B211 B212 B214 B215 B216 B217 B218 B219 B220门牌</t>
  </si>
  <si>
    <t>文件栏</t>
  </si>
  <si>
    <t>亚克力 27cm*37cm</t>
  </si>
  <si>
    <t xml:space="preserve">B205 B206 B208 B209 B210 B211 B212 B213 B214 B215 B217 B219 B220 B115 B117 B119 </t>
  </si>
  <si>
    <t>B311、B312、B313、B314、B316、B317、B319、B322、C308、C309、C310门牌
B424、C307门口</t>
  </si>
  <si>
    <t>B307 B308 B309 B310 B315 B401 B402 B404 B407 B408 B409 B412 B426 每个房间2个</t>
  </si>
  <si>
    <t>亚克力40cm*29cm</t>
  </si>
  <si>
    <t>厕所口、东楼梯口、电梯口、西楼梯</t>
  </si>
  <si>
    <t>南楼梯</t>
  </si>
  <si>
    <t>厕所口、东楼梯口、电梯口、西楼梯、南楼梯</t>
  </si>
  <si>
    <t>B区东楼梯口、B区电梯口、C区东楼梯、C区电梯口</t>
  </si>
  <si>
    <t>厕所口、电梯口、三楼和四楼西楼梯口</t>
  </si>
  <si>
    <t>厕所性别牌（男女）</t>
  </si>
  <si>
    <t>亚克力24cm*24cm</t>
  </si>
  <si>
    <t>厕所口</t>
  </si>
  <si>
    <t>车贴局部覆盖黄色部分</t>
  </si>
  <si>
    <t>厕所性别牌</t>
  </si>
  <si>
    <t>男、女厕所口</t>
  </si>
  <si>
    <t>厕所门口、二楼东连廊、中楼梯口、西楼梯口</t>
  </si>
  <si>
    <t>报警牌</t>
  </si>
  <si>
    <t>厕所门口、一楼东连廊、中楼梯口、西楼梯口</t>
  </si>
  <si>
    <t>厕所门口、二楼东连廊、中楼梯口、西楼梯口、南楼梯口</t>
  </si>
  <si>
    <t>厕所门口、三楼东连廊、中楼梯口、西楼梯口</t>
  </si>
  <si>
    <t>两个楼梯口</t>
  </si>
  <si>
    <t>亚克力59cm*40cm</t>
  </si>
  <si>
    <t>三楼B区东楼梯、三楼C区东楼梯</t>
  </si>
  <si>
    <t>东楼梯、西楼梯</t>
  </si>
  <si>
    <t>B区西侧三楼、四楼楼梯口</t>
  </si>
  <si>
    <t>灭火器箱贴纸</t>
  </si>
  <si>
    <t>塑料纸67cm*21cm</t>
  </si>
  <si>
    <t>一楼1个、二楼7个</t>
  </si>
  <si>
    <t>严禁电动车进入牌</t>
  </si>
  <si>
    <t>KT板21cm*30cm</t>
  </si>
  <si>
    <t>一楼电梯口</t>
  </si>
  <si>
    <t>提示牌</t>
  </si>
  <si>
    <t>亚克力18cm*39.3cm</t>
  </si>
  <si>
    <t xml:space="preserve">B205 B206 B208 B209 B210 B211 B212 B213 B214 215 B216 B217 B218 B219 B220 B115 B117 B119 </t>
  </si>
  <si>
    <t>气钢瓶用之后请关闭气阀</t>
  </si>
  <si>
    <t>提示牌2</t>
  </si>
  <si>
    <t>提示牌3</t>
  </si>
  <si>
    <t>水阀开关标识</t>
  </si>
  <si>
    <t>B217 B219 C110</t>
  </si>
  <si>
    <t>C405/C406/C407/C408/C409/C411/C412、
B413/B414/B415/B416/B417/B419/B420/B422
C410/B418/B422/C413/C414/C417/C415</t>
  </si>
  <si>
    <t>C410/C415/B418/B425/C422/C421/C420</t>
  </si>
  <si>
    <t>B311、B312、B313、B314、B316、B317、B319、B322、C308、C309、C310门牌
B421、B423、B424、C307、B318、B321西、C311、C312、C416、C418</t>
  </si>
  <si>
    <t>B424、C307门口</t>
  </si>
  <si>
    <t>B311、B312、B313、B314、B316、B317、B319、B322、C308、C309、C310、B421、B423、B424、C307、B318、B321西、C311、C312、C416、C418</t>
  </si>
  <si>
    <t>B311、B312、B313、B314、B316、B317、B319、B322、C308、C309、C310、B421、B424、B318、B321西、C312、C416</t>
  </si>
  <si>
    <t>三楼3个、四楼6个</t>
  </si>
  <si>
    <t>车贴局部覆盖上方</t>
  </si>
  <si>
    <t>亚克力50cm*50cm</t>
  </si>
  <si>
    <t>C204门口</t>
  </si>
  <si>
    <t>生物中心科室牌</t>
  </si>
  <si>
    <t>25-15cm</t>
  </si>
  <si>
    <t>一楼</t>
  </si>
  <si>
    <t>生物中心消防栓标识</t>
  </si>
  <si>
    <t>55-74cm</t>
  </si>
  <si>
    <t>生物中心1F导视牌</t>
  </si>
  <si>
    <t>80-12cm</t>
  </si>
  <si>
    <t>生物中心公告栏</t>
  </si>
  <si>
    <t>1.1-0.35m</t>
  </si>
  <si>
    <t>生物中心照片架子</t>
  </si>
  <si>
    <t>1.1-0.12m</t>
  </si>
  <si>
    <t>pvc板局部覆盖校名标识处</t>
  </si>
  <si>
    <t>生物中心照片架介绍</t>
  </si>
  <si>
    <t>1.2-0.22m</t>
  </si>
  <si>
    <t>生物中心保安桌标识</t>
  </si>
  <si>
    <t>28-5cm</t>
  </si>
  <si>
    <t>局部覆盖上面眉头处</t>
  </si>
  <si>
    <t>生物中心岗位职责</t>
  </si>
  <si>
    <t>50-70cm</t>
  </si>
  <si>
    <t>生物中心值班牌</t>
  </si>
  <si>
    <t>445-170mm</t>
  </si>
  <si>
    <r>
      <rPr>
        <i/>
        <u/>
        <sz val="18"/>
        <rFont val="方正小标宋简体"/>
        <charset val="134"/>
      </rPr>
      <t>体育部</t>
    </r>
    <r>
      <rPr>
        <sz val="18"/>
        <rFont val="方正小标宋简体"/>
        <charset val="134"/>
      </rPr>
      <t xml:space="preserve"> 变更含校徽校名的文化设施统计表</t>
    </r>
  </si>
  <si>
    <t>90x150cm玻璃</t>
  </si>
  <si>
    <t>公告处</t>
  </si>
  <si>
    <t>40x80cm塑料</t>
  </si>
  <si>
    <t>秘书办公室</t>
  </si>
  <si>
    <t>38x53cm塑料板</t>
  </si>
  <si>
    <t>综合办公室</t>
  </si>
  <si>
    <t>文化栏</t>
  </si>
  <si>
    <t>160x220cm玻璃</t>
  </si>
  <si>
    <t>文化活动处</t>
  </si>
  <si>
    <t>体育馆管理使用制度</t>
  </si>
  <si>
    <t>90×60cm亚克力板</t>
  </si>
  <si>
    <t>体育馆</t>
  </si>
  <si>
    <t>体育馆安全守则</t>
  </si>
  <si>
    <t>网球场管理使用制度</t>
  </si>
  <si>
    <t>羽毛球场管理使用制度</t>
  </si>
  <si>
    <t>乒乓球馆卫生管理制度</t>
  </si>
  <si>
    <t>乒乓球馆管理使用制度</t>
  </si>
  <si>
    <t>乒乓球馆消防安全制度</t>
  </si>
  <si>
    <t>街舞教室管理使用制度</t>
  </si>
  <si>
    <t>跆拳道教室管理使用制度</t>
  </si>
  <si>
    <t>定向越野教室管理施工制度</t>
  </si>
  <si>
    <t>体育部消防安全工作制度</t>
  </si>
  <si>
    <t>体育部器材室安全守则</t>
  </si>
  <si>
    <t>器材室管理人员工作标准</t>
  </si>
  <si>
    <t>塑胶田径场地使用和管理制度</t>
  </si>
  <si>
    <t>60×90cm亚克力板</t>
  </si>
  <si>
    <t>体育部主任职责</t>
  </si>
  <si>
    <t>90x60cm亚克力板</t>
  </si>
  <si>
    <t>主任办公室</t>
  </si>
  <si>
    <t>27x35cm亚克力板</t>
  </si>
  <si>
    <t>副主任办公室</t>
  </si>
  <si>
    <t>体育部行政副主任职责</t>
  </si>
  <si>
    <t>体育部教学副主任职责</t>
  </si>
  <si>
    <t>党政干部廉洁勤政守则</t>
  </si>
  <si>
    <t>体育部教学秘书职责</t>
  </si>
  <si>
    <t>体育部科研秘书职责</t>
  </si>
  <si>
    <t>体育部行政秘书职责</t>
  </si>
  <si>
    <t>新时代高校教师职业行为十项准则</t>
  </si>
  <si>
    <t>体育部教师岗位职责</t>
  </si>
  <si>
    <t>体育部教师职业道德规范</t>
  </si>
  <si>
    <t>体育部教师教学安全守则</t>
  </si>
  <si>
    <t>体育部教研室主任职责</t>
  </si>
  <si>
    <t>器材室卫生管理制度</t>
  </si>
  <si>
    <t>90×60cmPVC板</t>
  </si>
  <si>
    <t>器材室管理使用制度</t>
  </si>
  <si>
    <t>体育部器材室</t>
  </si>
  <si>
    <r>
      <rPr>
        <sz val="14"/>
        <rFont val="宋体"/>
        <charset val="134"/>
      </rPr>
      <t>25</t>
    </r>
    <r>
      <rPr>
        <sz val="14"/>
        <rFont val="Arial"/>
        <charset val="134"/>
      </rPr>
      <t>×</t>
    </r>
    <r>
      <rPr>
        <sz val="14"/>
        <rFont val="宋体"/>
        <charset val="134"/>
      </rPr>
      <t>30cm亚克力板</t>
    </r>
  </si>
  <si>
    <t>车贴局部覆盖上方校名标识黄色眉头处</t>
  </si>
  <si>
    <t>体育部器材仓库</t>
  </si>
  <si>
    <t>体育部瑜伽教室</t>
  </si>
  <si>
    <t>体育部乒乓球教室</t>
  </si>
  <si>
    <t>体育部街舞教室</t>
  </si>
  <si>
    <t>体育部飞镖教室</t>
  </si>
  <si>
    <t>体育部跆拳道教室</t>
  </si>
  <si>
    <t>体育部更衣室</t>
  </si>
  <si>
    <t>体育馆配电室</t>
  </si>
  <si>
    <t>体育部体育馆淋浴室</t>
  </si>
  <si>
    <t>体育部体育馆音响室</t>
  </si>
  <si>
    <t>体育部安全工作小组成员</t>
  </si>
  <si>
    <t>定向运动协会教室</t>
  </si>
  <si>
    <t>体育部体质健康办公室</t>
  </si>
  <si>
    <t>30x25cm亚克力板</t>
  </si>
  <si>
    <t>体质健康办公室</t>
  </si>
  <si>
    <t>体育部会议室</t>
  </si>
  <si>
    <t>会议室</t>
  </si>
  <si>
    <t>体育部档案室</t>
  </si>
  <si>
    <t>档案室</t>
  </si>
  <si>
    <t>体育部主任办公室</t>
  </si>
  <si>
    <t>体育部副主任办公室</t>
  </si>
  <si>
    <t>体育部综合办公室</t>
  </si>
  <si>
    <t>体育部秘书办公室</t>
  </si>
  <si>
    <t>足球</t>
  </si>
  <si>
    <r>
      <rPr>
        <sz val="14"/>
        <rFont val="宋体"/>
        <charset val="134"/>
      </rPr>
      <t>10</t>
    </r>
    <r>
      <rPr>
        <sz val="14"/>
        <rFont val="Arial"/>
        <charset val="134"/>
      </rPr>
      <t>×</t>
    </r>
    <r>
      <rPr>
        <sz val="14"/>
        <rFont val="宋体"/>
        <charset val="134"/>
      </rPr>
      <t>5cm亚克力板</t>
    </r>
  </si>
  <si>
    <t>车贴局部覆盖下方校名标识黄色眉头处</t>
  </si>
  <si>
    <t>篮球</t>
  </si>
  <si>
    <t>排球</t>
  </si>
  <si>
    <t>荷球</t>
  </si>
  <si>
    <t>羽毛球</t>
  </si>
  <si>
    <t>羽毛球拍</t>
  </si>
  <si>
    <t>网球拍</t>
  </si>
  <si>
    <t>网球</t>
  </si>
  <si>
    <t>乒乓球</t>
  </si>
  <si>
    <t>乒乓球拍</t>
  </si>
  <si>
    <t>瑜伽垫</t>
  </si>
  <si>
    <t>铅球</t>
  </si>
  <si>
    <t>指压板</t>
  </si>
  <si>
    <t>音响</t>
  </si>
  <si>
    <t>棍</t>
  </si>
  <si>
    <t>窦家刀</t>
  </si>
  <si>
    <t>剑</t>
  </si>
  <si>
    <t>跆拳道</t>
  </si>
  <si>
    <t>飞盘</t>
  </si>
  <si>
    <t>标志桶</t>
  </si>
  <si>
    <t>空竹</t>
  </si>
  <si>
    <t>柔力球</t>
  </si>
  <si>
    <t>匹克球</t>
  </si>
  <si>
    <t>匹克球拍</t>
  </si>
  <si>
    <t>交接棒</t>
  </si>
  <si>
    <t>胶带</t>
  </si>
  <si>
    <t>足球网</t>
  </si>
  <si>
    <t>网球网</t>
  </si>
  <si>
    <t>排球网</t>
  </si>
  <si>
    <t>篮球网</t>
  </si>
  <si>
    <t>羽毛球网</t>
  </si>
  <si>
    <t>跳绳</t>
  </si>
  <si>
    <t>毽球</t>
  </si>
  <si>
    <t>匹克球网</t>
  </si>
  <si>
    <t>飞镖盘</t>
  </si>
  <si>
    <t>大球教研室器材存放处</t>
  </si>
  <si>
    <r>
      <rPr>
        <sz val="14"/>
        <rFont val="宋体"/>
        <charset val="134"/>
      </rPr>
      <t>100</t>
    </r>
    <r>
      <rPr>
        <sz val="14"/>
        <rFont val="Arial"/>
        <charset val="134"/>
      </rPr>
      <t>×</t>
    </r>
    <r>
      <rPr>
        <sz val="14"/>
        <rFont val="宋体"/>
        <charset val="134"/>
      </rPr>
      <t>50cm亚克力板</t>
    </r>
  </si>
  <si>
    <t>小球教研室器材存放处</t>
  </si>
  <si>
    <t>武术与体操教研室器材存放处</t>
  </si>
  <si>
    <t>田径运动会器材存放处</t>
  </si>
  <si>
    <t>体育馆走廊体育人物宣传林丹</t>
  </si>
  <si>
    <r>
      <rPr>
        <sz val="14"/>
        <rFont val="宋体"/>
        <charset val="134"/>
      </rPr>
      <t>90</t>
    </r>
    <r>
      <rPr>
        <sz val="14"/>
        <rFont val="Arial"/>
        <charset val="134"/>
      </rPr>
      <t>×</t>
    </r>
    <r>
      <rPr>
        <sz val="14"/>
        <rFont val="宋体"/>
        <charset val="134"/>
      </rPr>
      <t>60cm亚克力板</t>
    </r>
  </si>
  <si>
    <t>体育馆走廊体育人物宣传郭晶晶</t>
  </si>
  <si>
    <t>体育馆走廊体育人物宣传刘翔</t>
  </si>
  <si>
    <t>体育馆走廊体育人物宣传郎平</t>
  </si>
  <si>
    <t>体育馆走廊体育人物宣传孙甜甜</t>
  </si>
  <si>
    <t>体育馆走廊体育人物宣传易建联</t>
  </si>
  <si>
    <t>体育馆走廊体育人物宣传姚明</t>
  </si>
  <si>
    <t>体育馆走廊体育人物宣传刘国梁</t>
  </si>
  <si>
    <t>体育馆走廊体育人物宣传邓亚萍</t>
  </si>
  <si>
    <t>体育馆走廊体育人物宣传张怡宁</t>
  </si>
  <si>
    <t>体育馆走廊体育人物宣传李娜</t>
  </si>
  <si>
    <t>体育馆走廊体育人物宣传龙清泉</t>
  </si>
  <si>
    <t>体育馆走廊体育人物宣传宁泽涛</t>
  </si>
  <si>
    <t>体育馆走廊体育人物宣传张国伟</t>
  </si>
  <si>
    <t>体育馆走廊体育人物宣传苏炳添</t>
  </si>
  <si>
    <t>体育馆走廊体育人物宣传孙杨</t>
  </si>
  <si>
    <t>体育馆走廊体育人物宣传马龙</t>
  </si>
  <si>
    <t>体育馆走廊体育人物宣传朱婷</t>
  </si>
  <si>
    <t>体育馆开放时间</t>
  </si>
  <si>
    <r>
      <rPr>
        <sz val="14"/>
        <rFont val="宋体"/>
        <charset val="134"/>
      </rPr>
      <t>120</t>
    </r>
    <r>
      <rPr>
        <sz val="14"/>
        <rFont val="Arial"/>
        <charset val="134"/>
      </rPr>
      <t>×</t>
    </r>
    <r>
      <rPr>
        <sz val="14"/>
        <rFont val="宋体"/>
        <charset val="134"/>
      </rPr>
      <t>90cm亚克力板</t>
    </r>
  </si>
  <si>
    <t>进入体育馆请穿运动鞋</t>
  </si>
  <si>
    <r>
      <rPr>
        <sz val="14"/>
        <rFont val="宋体"/>
        <charset val="134"/>
      </rPr>
      <t>110</t>
    </r>
    <r>
      <rPr>
        <sz val="14"/>
        <rFont val="Arial"/>
        <charset val="134"/>
      </rPr>
      <t>×</t>
    </r>
    <r>
      <rPr>
        <sz val="14"/>
        <rFont val="宋体"/>
        <charset val="134"/>
      </rPr>
      <t>165cm背胶写真</t>
    </r>
  </si>
  <si>
    <t>无烟校园</t>
  </si>
  <si>
    <t>40×20cm亚克力板</t>
  </si>
  <si>
    <t>电动车禁止入内</t>
  </si>
  <si>
    <t>10×15cmPVC板</t>
  </si>
  <si>
    <t>体质健康测试器材存放处</t>
  </si>
  <si>
    <t>请关好水电门窗</t>
  </si>
  <si>
    <t>18×40cmPVC板</t>
  </si>
  <si>
    <t>标语</t>
  </si>
  <si>
    <t>20x41cmPVC板</t>
  </si>
  <si>
    <r>
      <rPr>
        <i/>
        <sz val="18"/>
        <rFont val="方正小标宋简体"/>
        <charset val="134"/>
      </rPr>
      <t xml:space="preserve"> 外国语学院</t>
    </r>
    <r>
      <rPr>
        <sz val="18"/>
        <rFont val="方正小标宋简体"/>
        <charset val="134"/>
      </rPr>
      <t xml:space="preserve"> 变更含校徽校名的文化设施统计表</t>
    </r>
  </si>
  <si>
    <t>玻璃</t>
  </si>
  <si>
    <t>新乡校区综合楼三楼303,308,313</t>
  </si>
  <si>
    <t>车贴局部覆盖上方校名标识黄色部分</t>
  </si>
  <si>
    <r>
      <rPr>
        <i/>
        <u/>
        <sz val="18"/>
        <rFont val="Microsoft YaHei UI"/>
        <charset val="134"/>
      </rPr>
      <t>药学院</t>
    </r>
    <r>
      <rPr>
        <sz val="18"/>
        <rFont val="方正小标宋简体"/>
        <charset val="134"/>
      </rPr>
      <t xml:space="preserve"> 变更含校徽校名的文化设施统计表</t>
    </r>
  </si>
  <si>
    <t>卷轴式简介板</t>
  </si>
  <si>
    <t>PVC
110*245 cm</t>
  </si>
  <si>
    <t>药学院公共区</t>
  </si>
  <si>
    <t>卷轴式布告栏</t>
  </si>
  <si>
    <t>规章制度板</t>
  </si>
  <si>
    <t>玻璃
60*90 cm</t>
  </si>
  <si>
    <t>药学院院徽</t>
  </si>
  <si>
    <t>新做更换亚克力院徽</t>
  </si>
  <si>
    <t xml:space="preserve">亚克力
15*20 cm </t>
  </si>
  <si>
    <t>办公室/实验室门牌</t>
  </si>
  <si>
    <t>亚克力
25*30 cm</t>
  </si>
  <si>
    <t>药学院/
药物研究中心</t>
  </si>
  <si>
    <t>药物研究中心门头</t>
  </si>
  <si>
    <t>亚克力
每个字长约20 cm</t>
  </si>
  <si>
    <t>药学院公共区/
药物研究中心</t>
  </si>
  <si>
    <t>亚克力新校名字体制作安装</t>
  </si>
  <si>
    <t>药物研究中心简介</t>
  </si>
  <si>
    <t>灯牌布
810*120 cm</t>
  </si>
  <si>
    <t>药物研究中心</t>
  </si>
  <si>
    <t>安全疏散牌</t>
  </si>
  <si>
    <t>PVC
45*62 cm</t>
  </si>
  <si>
    <t>PVC
27*37 cm</t>
  </si>
  <si>
    <t>亚克力
24*24 cm</t>
  </si>
  <si>
    <t>车贴局部覆盖后方校名标识绿色部分</t>
  </si>
  <si>
    <r>
      <rPr>
        <i/>
        <sz val="18"/>
        <rFont val="方正小标宋简体"/>
        <charset val="134"/>
      </rPr>
      <t>医学检验学院</t>
    </r>
    <r>
      <rPr>
        <sz val="18"/>
        <rFont val="方正小标宋简体"/>
        <charset val="134"/>
      </rPr>
      <t xml:space="preserve"> 变更含校徽校名的文化设施统计表</t>
    </r>
  </si>
  <si>
    <t>公告牌</t>
  </si>
  <si>
    <t>120*200</t>
  </si>
  <si>
    <t>楼层索引牌</t>
  </si>
  <si>
    <t>60*120</t>
  </si>
  <si>
    <t>房间引导牌</t>
  </si>
  <si>
    <t>40*100</t>
  </si>
  <si>
    <t>院系楼北楼
一楼，二楼，三楼，四楼</t>
  </si>
  <si>
    <t>车贴整体覆盖绿色部分</t>
  </si>
  <si>
    <t>教室、办公室门牌</t>
  </si>
  <si>
    <t>课程牌</t>
  </si>
  <si>
    <t>铭牌</t>
  </si>
  <si>
    <t>40*60</t>
  </si>
  <si>
    <t>院系楼北楼
一楼，四楼</t>
  </si>
  <si>
    <t>楼层引导牌</t>
  </si>
  <si>
    <t>30*30</t>
  </si>
  <si>
    <t>车贴整体覆盖画面</t>
  </si>
  <si>
    <t>禁烟标识</t>
  </si>
  <si>
    <t>20*50</t>
  </si>
  <si>
    <t>消防引导牌</t>
  </si>
  <si>
    <r>
      <rPr>
        <i/>
        <sz val="18"/>
        <rFont val="方正小标宋简体"/>
        <charset val="134"/>
      </rPr>
      <t>医学影像学院</t>
    </r>
    <r>
      <rPr>
        <sz val="18"/>
        <rFont val="方正小标宋简体"/>
        <charset val="134"/>
      </rPr>
      <t xml:space="preserve"> 变更含校徽校名的文化设施统计表</t>
    </r>
  </si>
  <si>
    <t>院徽</t>
  </si>
  <si>
    <t>约1m*1m亚克力</t>
  </si>
  <si>
    <t>交流中心</t>
  </si>
  <si>
    <t>只制作更换院徽</t>
  </si>
  <si>
    <t>管理制度牌</t>
  </si>
  <si>
    <t>约0.8m*1.2m亚克力</t>
  </si>
  <si>
    <t>医工楼实验区域</t>
  </si>
  <si>
    <t>使用车贴局部覆盖制度牌眉头处</t>
  </si>
  <si>
    <t>约0.3m*0.4m亚克力</t>
  </si>
  <si>
    <t>使用车贴局部覆盖门牌眉头处</t>
  </si>
  <si>
    <t>整体车贴制作画面覆盖粘贴原牌</t>
  </si>
  <si>
    <t>消防提醒牌</t>
  </si>
  <si>
    <t>使用车贴局部覆盖消防牌眉头处</t>
  </si>
  <si>
    <t>金属名牌</t>
  </si>
  <si>
    <t>医工楼一楼</t>
  </si>
  <si>
    <t>制作安装新牌</t>
  </si>
  <si>
    <t>门口导视牌</t>
  </si>
  <si>
    <t>180X90</t>
  </si>
  <si>
    <t>使用车贴将下方校名标识处局部整体覆盖</t>
  </si>
  <si>
    <t>电梯口公示栏</t>
  </si>
  <si>
    <t>130X18</t>
  </si>
  <si>
    <t>使用车贴局部覆盖公示栏眉头处</t>
  </si>
  <si>
    <t>电梯口楼层导视牌</t>
  </si>
  <si>
    <t>44X9</t>
  </si>
  <si>
    <t>使用车贴局部覆盖导视牌眉头处</t>
  </si>
  <si>
    <t>严禁电动车进入</t>
  </si>
  <si>
    <t>21X4</t>
  </si>
  <si>
    <t>使用车贴局部覆盖提示牌眉头处</t>
  </si>
  <si>
    <t>门口公告栏</t>
  </si>
  <si>
    <t>200X10</t>
  </si>
  <si>
    <t>使用车贴局部覆盖公告栏眉头处</t>
  </si>
  <si>
    <r>
      <rPr>
        <i/>
        <u/>
        <sz val="18"/>
        <rFont val="方正小标宋简体"/>
        <charset val="134"/>
      </rPr>
      <t>智能医学工程学院</t>
    </r>
    <r>
      <rPr>
        <sz val="18"/>
        <rFont val="方正小标宋简体"/>
        <charset val="134"/>
      </rPr>
      <t xml:space="preserve"> 变更含校徽校名的文化设施统计表</t>
    </r>
  </si>
  <si>
    <t>120*200cm；pvc+亚克力板材</t>
  </si>
  <si>
    <t>医工楼四楼
智能医学工程学院会议室</t>
  </si>
  <si>
    <t>背景墙</t>
  </si>
  <si>
    <t>750*300，补字换胶</t>
  </si>
  <si>
    <t>医工楼三楼</t>
  </si>
  <si>
    <t>50*90cm；钢化玻璃</t>
  </si>
  <si>
    <t>实验室内部</t>
  </si>
  <si>
    <t>医工楼三楼北侧</t>
  </si>
  <si>
    <t>医工楼二楼北侧</t>
  </si>
  <si>
    <t>医工楼四楼
智能医学工程学院教师办公室</t>
  </si>
  <si>
    <t>25*30：钢化玻璃</t>
  </si>
  <si>
    <t>25*30cm；钢化玻璃</t>
  </si>
  <si>
    <t>告示牌</t>
  </si>
  <si>
    <t>A4卡槽</t>
  </si>
  <si>
    <t>实验室前后门</t>
  </si>
  <si>
    <t>安全提示牌</t>
  </si>
  <si>
    <t>亚克力40×18cm</t>
  </si>
  <si>
    <t>实验室内前后门</t>
  </si>
  <si>
    <t>铜牌</t>
  </si>
  <si>
    <t>40*60cm；不锈钢</t>
  </si>
  <si>
    <t>医工楼三楼
综合实训中心</t>
  </si>
  <si>
    <r>
      <rPr>
        <i/>
        <u/>
        <sz val="18"/>
        <color theme="1"/>
        <rFont val="方正小标宋简体"/>
        <charset val="134"/>
      </rPr>
      <t>生命科学技术学院</t>
    </r>
    <r>
      <rPr>
        <sz val="18"/>
        <color theme="1"/>
        <rFont val="方正小标宋简体"/>
        <charset val="134"/>
      </rPr>
      <t xml:space="preserve"> 变更含校徽校名的文化设施统计表</t>
    </r>
  </si>
  <si>
    <t>灯箱展牌</t>
  </si>
  <si>
    <t>8m*1.15m</t>
  </si>
  <si>
    <t>生育力保存大厅</t>
  </si>
  <si>
    <t>1-11所在位置为基础楼三楼C区 生育力保存重点实验室</t>
  </si>
  <si>
    <t>0.6m*0.9m</t>
  </si>
  <si>
    <t>实验室、办公室</t>
  </si>
  <si>
    <t>实验室名字</t>
  </si>
  <si>
    <t>1.3m*0.2m</t>
  </si>
  <si>
    <t>亚克力新校门标准字制作替换</t>
  </si>
  <si>
    <t>实验室介绍展牌</t>
  </si>
  <si>
    <t>5m*1.3m</t>
  </si>
  <si>
    <t>生育力保存</t>
  </si>
  <si>
    <t>0.25*0.3</t>
  </si>
  <si>
    <t>7S管理牌</t>
  </si>
  <si>
    <t>会议室、办公室</t>
  </si>
  <si>
    <t>多媒体使用牌</t>
  </si>
  <si>
    <t>任务栏</t>
  </si>
  <si>
    <t>0.75m*0.37m</t>
  </si>
  <si>
    <t>0.24m*0.35m</t>
  </si>
  <si>
    <t>0.39m*0.18m</t>
  </si>
  <si>
    <t>基础楼四楼A区A401-A414</t>
  </si>
  <si>
    <t>100*60，亚克力</t>
  </si>
  <si>
    <t>基础楼 A402</t>
  </si>
  <si>
    <t>走廊展板</t>
  </si>
  <si>
    <t>2m*2.4m</t>
  </si>
  <si>
    <t>基础楼A410 对面墙壁</t>
  </si>
  <si>
    <t>文化背景墙</t>
  </si>
  <si>
    <t>校名校徽大概20*80cm</t>
  </si>
  <si>
    <t>基础楼三楼B、C区东边连廊处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</si>
</sst>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46">
    <font>
      <sz val="11"/>
      <color theme="1"/>
      <name val="宋体"/>
      <charset val="134"/>
      <scheme val="minor"/>
    </font>
    <font>
      <sz val="14"/>
      <color theme="1"/>
      <name val="宋体"/>
      <charset val="134"/>
    </font>
    <font>
      <i/>
      <u/>
      <sz val="18"/>
      <color theme="1"/>
      <name val="方正小标宋简体"/>
      <charset val="134"/>
    </font>
    <font>
      <sz val="18"/>
      <color theme="1"/>
      <name val="方正小标宋简体"/>
      <charset val="134"/>
    </font>
    <font>
      <b/>
      <sz val="14"/>
      <color theme="1"/>
      <name val="宋体"/>
      <charset val="134"/>
    </font>
    <font>
      <sz val="14"/>
      <name val="宋体"/>
      <charset val="134"/>
    </font>
    <font>
      <i/>
      <u/>
      <sz val="18"/>
      <name val="方正小标宋简体"/>
      <charset val="134"/>
    </font>
    <font>
      <sz val="18"/>
      <name val="方正小标宋简体"/>
      <charset val="134"/>
    </font>
    <font>
      <b/>
      <sz val="14"/>
      <name val="宋体"/>
      <charset val="134"/>
    </font>
    <font>
      <sz val="14"/>
      <name val="宋体"/>
      <charset val="134"/>
      <scheme val="minor"/>
    </font>
    <font>
      <i/>
      <sz val="18"/>
      <name val="方正小标宋简体"/>
      <charset val="134"/>
    </font>
    <font>
      <b/>
      <sz val="14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4"/>
      <color theme="1"/>
      <name val="宋体"/>
      <charset val="134"/>
      <scheme val="minor"/>
    </font>
    <font>
      <i/>
      <u/>
      <sz val="18"/>
      <name val="Microsoft YaHei UI"/>
      <charset val="134"/>
    </font>
    <font>
      <u/>
      <sz val="11"/>
      <name val="宋体"/>
      <charset val="0"/>
      <scheme val="minor"/>
    </font>
    <font>
      <sz val="11"/>
      <name val="宋体"/>
      <charset val="134"/>
    </font>
    <font>
      <sz val="11"/>
      <name val="宋体"/>
      <charset val="134"/>
      <scheme val="minor"/>
    </font>
    <font>
      <u/>
      <sz val="18"/>
      <name val="方正小标宋简体"/>
      <charset val="134"/>
    </font>
    <font>
      <sz val="12"/>
      <name val="仿宋"/>
      <charset val="134"/>
    </font>
    <font>
      <sz val="12"/>
      <name val="宋体"/>
      <charset val="134"/>
    </font>
    <font>
      <b/>
      <sz val="12"/>
      <name val="宋体"/>
      <charset val="134"/>
    </font>
    <font>
      <sz val="12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4"/>
      <color theme="1"/>
      <name val="方正小标宋简体"/>
      <charset val="134"/>
    </font>
    <font>
      <b/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4"/>
      <name val="Arial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9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0" fillId="3" borderId="21" applyNumberFormat="0" applyFon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22" applyNumberFormat="0" applyFill="0" applyAlignment="0" applyProtection="0">
      <alignment vertical="center"/>
    </xf>
    <xf numFmtId="0" fontId="32" fillId="0" borderId="22" applyNumberFormat="0" applyFill="0" applyAlignment="0" applyProtection="0">
      <alignment vertical="center"/>
    </xf>
    <xf numFmtId="0" fontId="33" fillId="0" borderId="23" applyNumberFormat="0" applyFill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4" borderId="24" applyNumberFormat="0" applyAlignment="0" applyProtection="0">
      <alignment vertical="center"/>
    </xf>
    <xf numFmtId="0" fontId="35" fillId="5" borderId="25" applyNumberFormat="0" applyAlignment="0" applyProtection="0">
      <alignment vertical="center"/>
    </xf>
    <xf numFmtId="0" fontId="36" fillId="5" borderId="24" applyNumberFormat="0" applyAlignment="0" applyProtection="0">
      <alignment vertical="center"/>
    </xf>
    <xf numFmtId="0" fontId="37" fillId="6" borderId="26" applyNumberFormat="0" applyAlignment="0" applyProtection="0">
      <alignment vertical="center"/>
    </xf>
    <xf numFmtId="0" fontId="38" fillId="0" borderId="27" applyNumberFormat="0" applyFill="0" applyAlignment="0" applyProtection="0">
      <alignment vertical="center"/>
    </xf>
    <xf numFmtId="0" fontId="39" fillId="0" borderId="28" applyNumberFormat="0" applyFill="0" applyAlignment="0" applyProtection="0">
      <alignment vertical="center"/>
    </xf>
    <xf numFmtId="0" fontId="40" fillId="7" borderId="0" applyNumberFormat="0" applyBorder="0" applyAlignment="0" applyProtection="0">
      <alignment vertical="center"/>
    </xf>
    <xf numFmtId="0" fontId="41" fillId="8" borderId="0" applyNumberFormat="0" applyBorder="0" applyAlignment="0" applyProtection="0">
      <alignment vertical="center"/>
    </xf>
    <xf numFmtId="0" fontId="42" fillId="9" borderId="0" applyNumberFormat="0" applyBorder="0" applyAlignment="0" applyProtection="0">
      <alignment vertical="center"/>
    </xf>
    <xf numFmtId="0" fontId="43" fillId="10" borderId="0" applyNumberFormat="0" applyBorder="0" applyAlignment="0" applyProtection="0">
      <alignment vertical="center"/>
    </xf>
    <xf numFmtId="0" fontId="44" fillId="11" borderId="0" applyNumberFormat="0" applyBorder="0" applyAlignment="0" applyProtection="0">
      <alignment vertical="center"/>
    </xf>
    <xf numFmtId="0" fontId="44" fillId="12" borderId="0" applyNumberFormat="0" applyBorder="0" applyAlignment="0" applyProtection="0">
      <alignment vertical="center"/>
    </xf>
    <xf numFmtId="0" fontId="43" fillId="13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4" fillId="15" borderId="0" applyNumberFormat="0" applyBorder="0" applyAlignment="0" applyProtection="0">
      <alignment vertical="center"/>
    </xf>
    <xf numFmtId="0" fontId="44" fillId="16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4" fillId="1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3" borderId="0" applyNumberFormat="0" applyBorder="0" applyAlignment="0" applyProtection="0">
      <alignment vertical="center"/>
    </xf>
    <xf numFmtId="0" fontId="44" fillId="24" borderId="0" applyNumberFormat="0" applyBorder="0" applyAlignment="0" applyProtection="0">
      <alignment vertical="center"/>
    </xf>
    <xf numFmtId="0" fontId="43" fillId="25" borderId="0" applyNumberFormat="0" applyBorder="0" applyAlignment="0" applyProtection="0">
      <alignment vertical="center"/>
    </xf>
    <xf numFmtId="0" fontId="43" fillId="26" borderId="0" applyNumberFormat="0" applyBorder="0" applyAlignment="0" applyProtection="0">
      <alignment vertical="center"/>
    </xf>
    <xf numFmtId="0" fontId="44" fillId="27" borderId="0" applyNumberFormat="0" applyBorder="0" applyAlignment="0" applyProtection="0">
      <alignment vertical="center"/>
    </xf>
    <xf numFmtId="0" fontId="44" fillId="28" borderId="0" applyNumberFormat="0" applyBorder="0" applyAlignment="0" applyProtection="0">
      <alignment vertical="center"/>
    </xf>
    <xf numFmtId="0" fontId="43" fillId="29" borderId="0" applyNumberFormat="0" applyBorder="0" applyAlignment="0" applyProtection="0">
      <alignment vertical="center"/>
    </xf>
    <xf numFmtId="0" fontId="43" fillId="30" borderId="0" applyNumberFormat="0" applyBorder="0" applyAlignment="0" applyProtection="0">
      <alignment vertical="center"/>
    </xf>
    <xf numFmtId="0" fontId="44" fillId="31" borderId="0" applyNumberFormat="0" applyBorder="0" applyAlignment="0" applyProtection="0">
      <alignment vertical="center"/>
    </xf>
    <xf numFmtId="0" fontId="44" fillId="32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</cellStyleXfs>
  <cellXfs count="156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vertical="center" wrapText="1"/>
    </xf>
    <xf numFmtId="0" fontId="2" fillId="0" borderId="1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3" xfId="0" applyBorder="1">
      <alignment vertical="center"/>
    </xf>
    <xf numFmtId="0" fontId="1" fillId="0" borderId="2" xfId="0" applyFont="1" applyBorder="1" applyAlignment="1">
      <alignment horizontal="center" vertical="center"/>
    </xf>
    <xf numFmtId="0" fontId="0" fillId="0" borderId="2" xfId="0" applyBorder="1">
      <alignment vertical="center"/>
    </xf>
    <xf numFmtId="0" fontId="1" fillId="0" borderId="2" xfId="0" applyFont="1" applyBorder="1">
      <alignment vertical="center"/>
    </xf>
    <xf numFmtId="0" fontId="1" fillId="0" borderId="4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>
      <alignment vertical="center"/>
    </xf>
    <xf numFmtId="0" fontId="1" fillId="0" borderId="0" xfId="0" applyFont="1" applyBorder="1" applyAlignment="1">
      <alignment horizontal="center" vertical="center"/>
    </xf>
    <xf numFmtId="0" fontId="1" fillId="0" borderId="0" xfId="0" applyFont="1" applyBorder="1">
      <alignment vertical="center"/>
    </xf>
    <xf numFmtId="0" fontId="3" fillId="0" borderId="0" xfId="0" applyFont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5" fillId="0" borderId="0" xfId="0" applyFont="1">
      <alignment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vertical="center" wrapText="1"/>
    </xf>
    <xf numFmtId="0" fontId="6" fillId="0" borderId="1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 wrapText="1"/>
    </xf>
    <xf numFmtId="0" fontId="5" fillId="0" borderId="2" xfId="0" applyFont="1" applyBorder="1">
      <alignment vertical="center"/>
    </xf>
    <xf numFmtId="0" fontId="9" fillId="0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 wrapText="1"/>
    </xf>
    <xf numFmtId="0" fontId="9" fillId="0" borderId="2" xfId="0" applyFont="1" applyBorder="1">
      <alignment vertical="center"/>
    </xf>
    <xf numFmtId="0" fontId="5" fillId="0" borderId="5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>
      <alignment vertical="center"/>
    </xf>
    <xf numFmtId="0" fontId="7" fillId="0" borderId="0" xfId="0" applyFont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5" fillId="0" borderId="2" xfId="0" applyFont="1" applyBorder="1" applyAlignment="1">
      <alignment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8" xfId="0" applyFont="1" applyBorder="1" applyAlignment="1">
      <alignment horizontal="center" vertical="center" wrapText="1"/>
    </xf>
    <xf numFmtId="0" fontId="5" fillId="0" borderId="0" xfId="0" applyFont="1" applyFill="1">
      <alignment vertical="center"/>
    </xf>
    <xf numFmtId="0" fontId="10" fillId="0" borderId="1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11" fillId="0" borderId="9" xfId="0" applyFont="1" applyFill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 wrapText="1"/>
    </xf>
    <xf numFmtId="0" fontId="9" fillId="0" borderId="11" xfId="0" applyFont="1" applyFill="1" applyBorder="1" applyAlignment="1">
      <alignment horizontal="center" vertical="center"/>
    </xf>
    <xf numFmtId="0" fontId="9" fillId="0" borderId="12" xfId="0" applyFont="1" applyBorder="1">
      <alignment vertical="center"/>
    </xf>
    <xf numFmtId="0" fontId="9" fillId="0" borderId="0" xfId="0" applyFont="1" applyAlignment="1">
      <alignment horizontal="center" vertical="center"/>
    </xf>
    <xf numFmtId="0" fontId="12" fillId="0" borderId="2" xfId="0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13" fillId="0" borderId="2" xfId="0" applyFont="1" applyFill="1" applyBorder="1" applyAlignment="1">
      <alignment horizontal="center" vertical="center"/>
    </xf>
    <xf numFmtId="0" fontId="5" fillId="0" borderId="13" xfId="0" applyFont="1" applyBorder="1">
      <alignment vertical="center"/>
    </xf>
    <xf numFmtId="0" fontId="5" fillId="0" borderId="0" xfId="0" applyFont="1" applyFill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>
      <alignment vertical="center"/>
    </xf>
    <xf numFmtId="0" fontId="5" fillId="0" borderId="8" xfId="0" applyFont="1" applyBorder="1" applyAlignment="1">
      <alignment horizontal="center" vertical="center"/>
    </xf>
    <xf numFmtId="0" fontId="15" fillId="0" borderId="2" xfId="6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0" borderId="0" xfId="0" applyFont="1" applyBorder="1" applyAlignment="1">
      <alignment vertical="center" wrapText="1"/>
    </xf>
    <xf numFmtId="0" fontId="6" fillId="0" borderId="1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16" fillId="0" borderId="2" xfId="0" applyFont="1" applyFill="1" applyBorder="1" applyAlignment="1">
      <alignment horizontal="center" vertical="center"/>
    </xf>
    <xf numFmtId="0" fontId="16" fillId="0" borderId="2" xfId="0" applyFont="1" applyBorder="1" applyAlignment="1">
      <alignment horizontal="center" vertical="center"/>
    </xf>
    <xf numFmtId="0" fontId="16" fillId="0" borderId="2" xfId="0" applyFont="1" applyBorder="1">
      <alignment vertical="center"/>
    </xf>
    <xf numFmtId="0" fontId="16" fillId="0" borderId="2" xfId="0" applyFont="1" applyBorder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/>
    </xf>
    <xf numFmtId="0" fontId="16" fillId="2" borderId="2" xfId="0" applyFont="1" applyFill="1" applyBorder="1">
      <alignment vertical="center"/>
    </xf>
    <xf numFmtId="0" fontId="17" fillId="0" borderId="2" xfId="0" applyFont="1" applyBorder="1">
      <alignment vertical="center"/>
    </xf>
    <xf numFmtId="0" fontId="17" fillId="2" borderId="2" xfId="0" applyFont="1" applyFill="1" applyBorder="1">
      <alignment vertical="center"/>
    </xf>
    <xf numFmtId="0" fontId="16" fillId="0" borderId="2" xfId="0" applyFont="1" applyBorder="1" applyAlignment="1">
      <alignment vertical="center"/>
    </xf>
    <xf numFmtId="0" fontId="17" fillId="0" borderId="2" xfId="0" applyFont="1" applyBorder="1" applyAlignment="1">
      <alignment horizontal="center" vertical="center"/>
    </xf>
    <xf numFmtId="0" fontId="5" fillId="2" borderId="2" xfId="0" applyFont="1" applyFill="1" applyBorder="1">
      <alignment vertical="center"/>
    </xf>
    <xf numFmtId="0" fontId="16" fillId="2" borderId="2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vertical="center" wrapText="1"/>
    </xf>
    <xf numFmtId="0" fontId="16" fillId="2" borderId="2" xfId="0" applyFont="1" applyFill="1" applyBorder="1" applyAlignment="1">
      <alignment vertical="center" wrapText="1"/>
    </xf>
    <xf numFmtId="0" fontId="12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vertical="center"/>
    </xf>
    <xf numFmtId="0" fontId="0" fillId="0" borderId="2" xfId="0" applyBorder="1" applyAlignment="1">
      <alignment vertical="center" wrapText="1"/>
    </xf>
    <xf numFmtId="0" fontId="0" fillId="0" borderId="0" xfId="0" applyBorder="1" applyAlignment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5" fillId="0" borderId="2" xfId="0" applyFont="1" applyBorder="1" applyAlignment="1">
      <alignment vertical="center"/>
    </xf>
    <xf numFmtId="0" fontId="5" fillId="0" borderId="0" xfId="0" applyFont="1" applyFill="1" applyAlignment="1">
      <alignment vertical="center" wrapText="1"/>
    </xf>
    <xf numFmtId="0" fontId="18" fillId="0" borderId="1" xfId="0" applyFont="1" applyFill="1" applyBorder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0" fontId="5" fillId="0" borderId="2" xfId="0" applyFont="1" applyFill="1" applyBorder="1" applyAlignment="1">
      <alignment horizontal="center" vertical="center" wrapText="1"/>
    </xf>
    <xf numFmtId="176" fontId="5" fillId="0" borderId="2" xfId="0" applyNumberFormat="1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vertical="center" wrapText="1"/>
    </xf>
    <xf numFmtId="176" fontId="5" fillId="0" borderId="2" xfId="0" applyNumberFormat="1" applyFont="1" applyFill="1" applyBorder="1" applyAlignment="1">
      <alignment horizontal="center" vertical="center"/>
    </xf>
    <xf numFmtId="0" fontId="5" fillId="0" borderId="2" xfId="0" applyFont="1" applyFill="1" applyBorder="1">
      <alignment vertical="center"/>
    </xf>
    <xf numFmtId="0" fontId="17" fillId="0" borderId="2" xfId="0" applyFont="1" applyFill="1" applyBorder="1">
      <alignment vertical="center"/>
    </xf>
    <xf numFmtId="0" fontId="5" fillId="0" borderId="5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Fill="1" applyBorder="1">
      <alignment vertical="center"/>
    </xf>
    <xf numFmtId="0" fontId="7" fillId="0" borderId="0" xfId="0" applyFont="1" applyFill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20" fillId="0" borderId="0" xfId="0" applyFont="1">
      <alignment vertical="center"/>
    </xf>
    <xf numFmtId="0" fontId="5" fillId="0" borderId="0" xfId="0" applyFont="1" applyAlignment="1">
      <alignment horizontal="left" vertical="center" wrapText="1"/>
    </xf>
    <xf numFmtId="0" fontId="4" fillId="0" borderId="14" xfId="0" applyFont="1" applyFill="1" applyBorder="1" applyAlignment="1">
      <alignment horizontal="center" vertical="center"/>
    </xf>
    <xf numFmtId="0" fontId="20" fillId="0" borderId="9" xfId="0" applyFont="1" applyBorder="1" applyAlignment="1">
      <alignment horizontal="center" vertical="center" wrapText="1"/>
    </xf>
    <xf numFmtId="0" fontId="20" fillId="0" borderId="9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20" fillId="0" borderId="11" xfId="0" applyFont="1" applyBorder="1" applyAlignment="1">
      <alignment horizontal="center" vertical="center" wrapText="1"/>
    </xf>
    <xf numFmtId="0" fontId="20" fillId="0" borderId="11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2" xfId="0" applyFont="1" applyBorder="1">
      <alignment vertical="center"/>
    </xf>
    <xf numFmtId="0" fontId="8" fillId="0" borderId="15" xfId="0" applyFont="1" applyFill="1" applyBorder="1" applyAlignment="1">
      <alignment horizontal="center" vertical="center"/>
    </xf>
    <xf numFmtId="0" fontId="20" fillId="0" borderId="16" xfId="0" applyFont="1" applyBorder="1" applyAlignment="1">
      <alignment horizontal="center" vertical="center" wrapText="1"/>
    </xf>
    <xf numFmtId="0" fontId="20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0" fillId="0" borderId="2" xfId="0" applyFont="1" applyFill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8" fillId="0" borderId="14" xfId="0" applyFont="1" applyFill="1" applyBorder="1" applyAlignment="1">
      <alignment horizontal="center" vertical="center"/>
    </xf>
    <xf numFmtId="0" fontId="5" fillId="0" borderId="18" xfId="0" applyFont="1" applyBorder="1" applyAlignment="1">
      <alignment horizontal="center" vertical="center"/>
    </xf>
    <xf numFmtId="0" fontId="5" fillId="0" borderId="19" xfId="0" applyFont="1" applyBorder="1" applyAlignment="1">
      <alignment horizontal="center" vertical="center"/>
    </xf>
    <xf numFmtId="0" fontId="5" fillId="0" borderId="3" xfId="0" applyFont="1" applyBorder="1" applyAlignment="1">
      <alignment horizontal="left" vertical="center" wrapText="1"/>
    </xf>
    <xf numFmtId="0" fontId="5" fillId="0" borderId="2" xfId="0" applyFont="1" applyBorder="1" applyAlignment="1">
      <alignment horizontal="left" vertical="center" wrapText="1"/>
    </xf>
    <xf numFmtId="0" fontId="20" fillId="0" borderId="2" xfId="0" applyFont="1" applyBorder="1" applyAlignment="1">
      <alignment horizontal="left" vertical="center" wrapText="1"/>
    </xf>
    <xf numFmtId="0" fontId="5" fillId="0" borderId="20" xfId="0" applyFont="1" applyBorder="1" applyAlignment="1">
      <alignment horizontal="left" vertical="center" wrapText="1"/>
    </xf>
    <xf numFmtId="0" fontId="6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5" fillId="0" borderId="2" xfId="0" applyFont="1" applyBorder="1" applyAlignment="1">
      <alignment horizontal="center" vertical="center"/>
    </xf>
    <xf numFmtId="0" fontId="25" fillId="0" borderId="2" xfId="0" applyFont="1" applyBorder="1" applyAlignment="1">
      <alignment vertical="center"/>
    </xf>
    <xf numFmtId="0" fontId="13" fillId="0" borderId="2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13" fillId="0" borderId="2" xfId="0" applyFont="1" applyBorder="1" applyAlignment="1">
      <alignment horizontal="left" vertical="center" wrapText="1"/>
    </xf>
    <xf numFmtId="0" fontId="13" fillId="0" borderId="7" xfId="0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85.jpeg"/><Relationship Id="rId98" Type="http://schemas.openxmlformats.org/officeDocument/2006/relationships/image" Target="media/image184.jpeg"/><Relationship Id="rId97" Type="http://schemas.openxmlformats.org/officeDocument/2006/relationships/image" Target="media/image183.png"/><Relationship Id="rId96" Type="http://schemas.openxmlformats.org/officeDocument/2006/relationships/image" Target="media/image182.jpeg"/><Relationship Id="rId95" Type="http://schemas.openxmlformats.org/officeDocument/2006/relationships/image" Target="media/image181.png"/><Relationship Id="rId94" Type="http://schemas.openxmlformats.org/officeDocument/2006/relationships/image" Target="media/image180.png"/><Relationship Id="rId93" Type="http://schemas.openxmlformats.org/officeDocument/2006/relationships/image" Target="media/image179.jpeg"/><Relationship Id="rId92" Type="http://schemas.openxmlformats.org/officeDocument/2006/relationships/image" Target="media/image178.png"/><Relationship Id="rId91" Type="http://schemas.openxmlformats.org/officeDocument/2006/relationships/image" Target="media/image177.jpeg"/><Relationship Id="rId90" Type="http://schemas.openxmlformats.org/officeDocument/2006/relationships/image" Target="media/image176.jpeg"/><Relationship Id="rId9" Type="http://schemas.openxmlformats.org/officeDocument/2006/relationships/image" Target="media/image96.png"/><Relationship Id="rId89" Type="http://schemas.openxmlformats.org/officeDocument/2006/relationships/image" Target="media/image175.jpeg"/><Relationship Id="rId88" Type="http://schemas.openxmlformats.org/officeDocument/2006/relationships/image" Target="media/image174.png"/><Relationship Id="rId87" Type="http://schemas.openxmlformats.org/officeDocument/2006/relationships/image" Target="media/image173.png"/><Relationship Id="rId86" Type="http://schemas.openxmlformats.org/officeDocument/2006/relationships/image" Target="media/image172.jpeg"/><Relationship Id="rId85" Type="http://schemas.openxmlformats.org/officeDocument/2006/relationships/image" Target="media/image171.jpeg"/><Relationship Id="rId84" Type="http://schemas.openxmlformats.org/officeDocument/2006/relationships/image" Target="media/image170.jpeg"/><Relationship Id="rId83" Type="http://schemas.openxmlformats.org/officeDocument/2006/relationships/image" Target="media/image169.jpeg"/><Relationship Id="rId82" Type="http://schemas.openxmlformats.org/officeDocument/2006/relationships/image" Target="media/image168.png"/><Relationship Id="rId81" Type="http://schemas.openxmlformats.org/officeDocument/2006/relationships/image" Target="media/image167.jpeg"/><Relationship Id="rId80" Type="http://schemas.openxmlformats.org/officeDocument/2006/relationships/image" Target="media/image166.png"/><Relationship Id="rId8" Type="http://schemas.openxmlformats.org/officeDocument/2006/relationships/image" Target="media/image95.png"/><Relationship Id="rId79" Type="http://schemas.openxmlformats.org/officeDocument/2006/relationships/image" Target="media/image165.jpeg"/><Relationship Id="rId78" Type="http://schemas.openxmlformats.org/officeDocument/2006/relationships/image" Target="media/image164.jpeg"/><Relationship Id="rId77" Type="http://schemas.openxmlformats.org/officeDocument/2006/relationships/image" Target="media/image163.png"/><Relationship Id="rId76" Type="http://schemas.openxmlformats.org/officeDocument/2006/relationships/image" Target="media/image162.jpeg"/><Relationship Id="rId75" Type="http://schemas.openxmlformats.org/officeDocument/2006/relationships/image" Target="media/image161.jpeg"/><Relationship Id="rId74" Type="http://schemas.openxmlformats.org/officeDocument/2006/relationships/image" Target="media/image160.jpeg"/><Relationship Id="rId73" Type="http://schemas.openxmlformats.org/officeDocument/2006/relationships/image" Target="media/image159.jpeg"/><Relationship Id="rId72" Type="http://schemas.openxmlformats.org/officeDocument/2006/relationships/image" Target="media/image158.jpeg"/><Relationship Id="rId71" Type="http://schemas.openxmlformats.org/officeDocument/2006/relationships/image" Target="media/image157.jpeg"/><Relationship Id="rId70" Type="http://schemas.openxmlformats.org/officeDocument/2006/relationships/image" Target="media/image156.jpeg"/><Relationship Id="rId7" Type="http://schemas.openxmlformats.org/officeDocument/2006/relationships/image" Target="media/image94.png"/><Relationship Id="rId69" Type="http://schemas.openxmlformats.org/officeDocument/2006/relationships/image" Target="media/image155.jpeg"/><Relationship Id="rId68" Type="http://schemas.openxmlformats.org/officeDocument/2006/relationships/image" Target="media/image154.jpeg"/><Relationship Id="rId67" Type="http://schemas.openxmlformats.org/officeDocument/2006/relationships/image" Target="media/image153.jpeg"/><Relationship Id="rId66" Type="http://schemas.openxmlformats.org/officeDocument/2006/relationships/image" Target="media/image152.jpeg"/><Relationship Id="rId65" Type="http://schemas.openxmlformats.org/officeDocument/2006/relationships/image" Target="media/image151.jpeg"/><Relationship Id="rId64" Type="http://schemas.openxmlformats.org/officeDocument/2006/relationships/image" Target="NULL" TargetMode="External"/><Relationship Id="rId63" Type="http://schemas.openxmlformats.org/officeDocument/2006/relationships/image" Target="media/image150.jpeg"/><Relationship Id="rId62" Type="http://schemas.openxmlformats.org/officeDocument/2006/relationships/image" Target="media/image149.jpeg"/><Relationship Id="rId61" Type="http://schemas.openxmlformats.org/officeDocument/2006/relationships/image" Target="media/image148.jpeg"/><Relationship Id="rId60" Type="http://schemas.openxmlformats.org/officeDocument/2006/relationships/image" Target="media/image147.jpeg"/><Relationship Id="rId6" Type="http://schemas.openxmlformats.org/officeDocument/2006/relationships/image" Target="media/image93.png"/><Relationship Id="rId59" Type="http://schemas.openxmlformats.org/officeDocument/2006/relationships/image" Target="media/image146.jpeg"/><Relationship Id="rId58" Type="http://schemas.openxmlformats.org/officeDocument/2006/relationships/image" Target="media/image145.jpeg"/><Relationship Id="rId57" Type="http://schemas.openxmlformats.org/officeDocument/2006/relationships/image" Target="media/image144.jpeg"/><Relationship Id="rId56" Type="http://schemas.openxmlformats.org/officeDocument/2006/relationships/image" Target="media/image143.jpeg"/><Relationship Id="rId55" Type="http://schemas.openxmlformats.org/officeDocument/2006/relationships/image" Target="media/image142.jpeg"/><Relationship Id="rId54" Type="http://schemas.openxmlformats.org/officeDocument/2006/relationships/image" Target="media/image141.jpeg"/><Relationship Id="rId53" Type="http://schemas.openxmlformats.org/officeDocument/2006/relationships/image" Target="media/image140.jpeg"/><Relationship Id="rId52" Type="http://schemas.openxmlformats.org/officeDocument/2006/relationships/image" Target="media/image139.jpeg"/><Relationship Id="rId51" Type="http://schemas.openxmlformats.org/officeDocument/2006/relationships/image" Target="media/image138.jpeg"/><Relationship Id="rId50" Type="http://schemas.openxmlformats.org/officeDocument/2006/relationships/image" Target="media/image137.jpeg"/><Relationship Id="rId5" Type="http://schemas.openxmlformats.org/officeDocument/2006/relationships/image" Target="media/image92.png"/><Relationship Id="rId49" Type="http://schemas.openxmlformats.org/officeDocument/2006/relationships/image" Target="media/image136.jpeg"/><Relationship Id="rId48" Type="http://schemas.openxmlformats.org/officeDocument/2006/relationships/image" Target="media/image135.jpeg"/><Relationship Id="rId47" Type="http://schemas.openxmlformats.org/officeDocument/2006/relationships/image" Target="media/image134.jpeg"/><Relationship Id="rId46" Type="http://schemas.openxmlformats.org/officeDocument/2006/relationships/image" Target="media/image133.jpeg"/><Relationship Id="rId45" Type="http://schemas.openxmlformats.org/officeDocument/2006/relationships/image" Target="media/image132.jpeg"/><Relationship Id="rId44" Type="http://schemas.openxmlformats.org/officeDocument/2006/relationships/image" Target="media/image131.jpeg"/><Relationship Id="rId43" Type="http://schemas.openxmlformats.org/officeDocument/2006/relationships/image" Target="media/image130.jpeg"/><Relationship Id="rId42" Type="http://schemas.openxmlformats.org/officeDocument/2006/relationships/image" Target="media/image129.jpeg"/><Relationship Id="rId41" Type="http://schemas.openxmlformats.org/officeDocument/2006/relationships/image" Target="media/image128.jpeg"/><Relationship Id="rId40" Type="http://schemas.openxmlformats.org/officeDocument/2006/relationships/image" Target="media/image127.jpeg"/><Relationship Id="rId4" Type="http://schemas.openxmlformats.org/officeDocument/2006/relationships/image" Target="media/image91.png"/><Relationship Id="rId39" Type="http://schemas.openxmlformats.org/officeDocument/2006/relationships/image" Target="media/image126.jpeg"/><Relationship Id="rId38" Type="http://schemas.openxmlformats.org/officeDocument/2006/relationships/image" Target="media/image125.jpeg"/><Relationship Id="rId37" Type="http://schemas.openxmlformats.org/officeDocument/2006/relationships/image" Target="media/image124.jpeg"/><Relationship Id="rId36" Type="http://schemas.openxmlformats.org/officeDocument/2006/relationships/image" Target="media/image123.jpeg"/><Relationship Id="rId35" Type="http://schemas.openxmlformats.org/officeDocument/2006/relationships/image" Target="media/image122.jpeg"/><Relationship Id="rId34" Type="http://schemas.openxmlformats.org/officeDocument/2006/relationships/image" Target="media/image121.jpeg"/><Relationship Id="rId334" Type="http://schemas.openxmlformats.org/officeDocument/2006/relationships/image" Target="media/image416.png"/><Relationship Id="rId333" Type="http://schemas.openxmlformats.org/officeDocument/2006/relationships/image" Target="media/image415.png"/><Relationship Id="rId332" Type="http://schemas.openxmlformats.org/officeDocument/2006/relationships/image" Target="media/image414.png"/><Relationship Id="rId331" Type="http://schemas.openxmlformats.org/officeDocument/2006/relationships/image" Target="media/image413.jpeg"/><Relationship Id="rId330" Type="http://schemas.openxmlformats.org/officeDocument/2006/relationships/image" Target="media/image412.png"/><Relationship Id="rId33" Type="http://schemas.openxmlformats.org/officeDocument/2006/relationships/image" Target="media/image120.jpeg"/><Relationship Id="rId329" Type="http://schemas.openxmlformats.org/officeDocument/2006/relationships/image" Target="media/image411.png"/><Relationship Id="rId328" Type="http://schemas.openxmlformats.org/officeDocument/2006/relationships/image" Target="media/image410.png"/><Relationship Id="rId327" Type="http://schemas.openxmlformats.org/officeDocument/2006/relationships/image" Target="media/image409.png"/><Relationship Id="rId326" Type="http://schemas.openxmlformats.org/officeDocument/2006/relationships/image" Target="media/image408.png"/><Relationship Id="rId325" Type="http://schemas.openxmlformats.org/officeDocument/2006/relationships/image" Target="media/image407.png"/><Relationship Id="rId324" Type="http://schemas.openxmlformats.org/officeDocument/2006/relationships/image" Target="media/image406.png"/><Relationship Id="rId323" Type="http://schemas.openxmlformats.org/officeDocument/2006/relationships/image" Target="media/image405.png"/><Relationship Id="rId322" Type="http://schemas.openxmlformats.org/officeDocument/2006/relationships/image" Target="media/image404.png"/><Relationship Id="rId321" Type="http://schemas.openxmlformats.org/officeDocument/2006/relationships/image" Target="media/image403.png"/><Relationship Id="rId320" Type="http://schemas.openxmlformats.org/officeDocument/2006/relationships/image" Target="media/image402.png"/><Relationship Id="rId32" Type="http://schemas.openxmlformats.org/officeDocument/2006/relationships/image" Target="media/image119.jpeg"/><Relationship Id="rId319" Type="http://schemas.openxmlformats.org/officeDocument/2006/relationships/image" Target="media/image401.png"/><Relationship Id="rId318" Type="http://schemas.openxmlformats.org/officeDocument/2006/relationships/image" Target="media/image400.png"/><Relationship Id="rId317" Type="http://schemas.openxmlformats.org/officeDocument/2006/relationships/image" Target="media/image399.png"/><Relationship Id="rId316" Type="http://schemas.openxmlformats.org/officeDocument/2006/relationships/image" Target="media/image398.png"/><Relationship Id="rId315" Type="http://schemas.openxmlformats.org/officeDocument/2006/relationships/image" Target="media/image397.png"/><Relationship Id="rId314" Type="http://schemas.openxmlformats.org/officeDocument/2006/relationships/image" Target="media/image396.png"/><Relationship Id="rId313" Type="http://schemas.openxmlformats.org/officeDocument/2006/relationships/image" Target="media/image395.png"/><Relationship Id="rId312" Type="http://schemas.openxmlformats.org/officeDocument/2006/relationships/image" Target="media/image394.png"/><Relationship Id="rId311" Type="http://schemas.openxmlformats.org/officeDocument/2006/relationships/image" Target="media/image393.png"/><Relationship Id="rId310" Type="http://schemas.openxmlformats.org/officeDocument/2006/relationships/image" Target="media/image392.png"/><Relationship Id="rId31" Type="http://schemas.openxmlformats.org/officeDocument/2006/relationships/image" Target="media/image118.jpeg"/><Relationship Id="rId309" Type="http://schemas.openxmlformats.org/officeDocument/2006/relationships/image" Target="media/image391.png"/><Relationship Id="rId308" Type="http://schemas.openxmlformats.org/officeDocument/2006/relationships/image" Target="media/image390.png"/><Relationship Id="rId307" Type="http://schemas.openxmlformats.org/officeDocument/2006/relationships/image" Target="media/image389.png"/><Relationship Id="rId306" Type="http://schemas.openxmlformats.org/officeDocument/2006/relationships/image" Target="media/image388.png"/><Relationship Id="rId305" Type="http://schemas.openxmlformats.org/officeDocument/2006/relationships/image" Target="media/image387.png"/><Relationship Id="rId304" Type="http://schemas.openxmlformats.org/officeDocument/2006/relationships/image" Target="media/image386.png"/><Relationship Id="rId303" Type="http://schemas.openxmlformats.org/officeDocument/2006/relationships/image" Target="media/image385.png"/><Relationship Id="rId302" Type="http://schemas.openxmlformats.org/officeDocument/2006/relationships/image" Target="media/image384.png"/><Relationship Id="rId301" Type="http://schemas.openxmlformats.org/officeDocument/2006/relationships/image" Target="media/image383.png"/><Relationship Id="rId300" Type="http://schemas.openxmlformats.org/officeDocument/2006/relationships/image" Target="media/image382.png"/><Relationship Id="rId30" Type="http://schemas.openxmlformats.org/officeDocument/2006/relationships/image" Target="media/image117.jpeg"/><Relationship Id="rId3" Type="http://schemas.openxmlformats.org/officeDocument/2006/relationships/image" Target="media/image90.png"/><Relationship Id="rId299" Type="http://schemas.openxmlformats.org/officeDocument/2006/relationships/image" Target="media/image381.png"/><Relationship Id="rId298" Type="http://schemas.openxmlformats.org/officeDocument/2006/relationships/image" Target="media/image380.png"/><Relationship Id="rId297" Type="http://schemas.openxmlformats.org/officeDocument/2006/relationships/image" Target="media/image379.png"/><Relationship Id="rId296" Type="http://schemas.openxmlformats.org/officeDocument/2006/relationships/image" Target="media/image378.png"/><Relationship Id="rId295" Type="http://schemas.openxmlformats.org/officeDocument/2006/relationships/image" Target="media/image377.png"/><Relationship Id="rId294" Type="http://schemas.openxmlformats.org/officeDocument/2006/relationships/image" Target="media/image376.png"/><Relationship Id="rId293" Type="http://schemas.openxmlformats.org/officeDocument/2006/relationships/image" Target="media/image375.png"/><Relationship Id="rId292" Type="http://schemas.openxmlformats.org/officeDocument/2006/relationships/image" Target="media/image374.png"/><Relationship Id="rId291" Type="http://schemas.openxmlformats.org/officeDocument/2006/relationships/image" Target="media/image373.png"/><Relationship Id="rId290" Type="http://schemas.openxmlformats.org/officeDocument/2006/relationships/image" Target="media/image372.png"/><Relationship Id="rId29" Type="http://schemas.openxmlformats.org/officeDocument/2006/relationships/image" Target="media/image116.jpeg"/><Relationship Id="rId289" Type="http://schemas.openxmlformats.org/officeDocument/2006/relationships/image" Target="media/image371.png"/><Relationship Id="rId288" Type="http://schemas.openxmlformats.org/officeDocument/2006/relationships/image" Target="media/image370.png"/><Relationship Id="rId287" Type="http://schemas.openxmlformats.org/officeDocument/2006/relationships/image" Target="media/image369.png"/><Relationship Id="rId286" Type="http://schemas.openxmlformats.org/officeDocument/2006/relationships/image" Target="media/image368.png"/><Relationship Id="rId285" Type="http://schemas.openxmlformats.org/officeDocument/2006/relationships/image" Target="media/image367.png"/><Relationship Id="rId284" Type="http://schemas.openxmlformats.org/officeDocument/2006/relationships/image" Target="media/image366.png"/><Relationship Id="rId283" Type="http://schemas.openxmlformats.org/officeDocument/2006/relationships/image" Target="media/image365.png"/><Relationship Id="rId282" Type="http://schemas.openxmlformats.org/officeDocument/2006/relationships/image" Target="media/image364.png"/><Relationship Id="rId281" Type="http://schemas.openxmlformats.org/officeDocument/2006/relationships/image" Target="media/image363.png"/><Relationship Id="rId280" Type="http://schemas.openxmlformats.org/officeDocument/2006/relationships/image" Target="media/image362.png"/><Relationship Id="rId28" Type="http://schemas.openxmlformats.org/officeDocument/2006/relationships/image" Target="media/image115.jpeg"/><Relationship Id="rId279" Type="http://schemas.openxmlformats.org/officeDocument/2006/relationships/image" Target="media/image361.png"/><Relationship Id="rId278" Type="http://schemas.openxmlformats.org/officeDocument/2006/relationships/image" Target="media/image360.png"/><Relationship Id="rId277" Type="http://schemas.openxmlformats.org/officeDocument/2006/relationships/image" Target="media/image359.png"/><Relationship Id="rId276" Type="http://schemas.openxmlformats.org/officeDocument/2006/relationships/image" Target="media/image358.png"/><Relationship Id="rId275" Type="http://schemas.openxmlformats.org/officeDocument/2006/relationships/image" Target="media/image357.png"/><Relationship Id="rId274" Type="http://schemas.openxmlformats.org/officeDocument/2006/relationships/image" Target="media/image356.png"/><Relationship Id="rId273" Type="http://schemas.openxmlformats.org/officeDocument/2006/relationships/image" Target="media/image355.png"/><Relationship Id="rId272" Type="http://schemas.openxmlformats.org/officeDocument/2006/relationships/image" Target="media/image354.png"/><Relationship Id="rId271" Type="http://schemas.openxmlformats.org/officeDocument/2006/relationships/image" Target="media/image353.jpeg"/><Relationship Id="rId270" Type="http://schemas.openxmlformats.org/officeDocument/2006/relationships/image" Target="media/image352.png"/><Relationship Id="rId27" Type="http://schemas.openxmlformats.org/officeDocument/2006/relationships/image" Target="media/image114.jpeg"/><Relationship Id="rId269" Type="http://schemas.openxmlformats.org/officeDocument/2006/relationships/image" Target="media/image351.jpeg"/><Relationship Id="rId268" Type="http://schemas.openxmlformats.org/officeDocument/2006/relationships/image" Target="media/image350.jpeg"/><Relationship Id="rId267" Type="http://schemas.openxmlformats.org/officeDocument/2006/relationships/image" Target="media/image349.jpeg"/><Relationship Id="rId266" Type="http://schemas.openxmlformats.org/officeDocument/2006/relationships/image" Target="media/image348.jpeg"/><Relationship Id="rId265" Type="http://schemas.openxmlformats.org/officeDocument/2006/relationships/image" Target="media/image347.jpeg"/><Relationship Id="rId264" Type="http://schemas.openxmlformats.org/officeDocument/2006/relationships/image" Target="media/image346.png"/><Relationship Id="rId263" Type="http://schemas.openxmlformats.org/officeDocument/2006/relationships/image" Target="media/image345.jpeg"/><Relationship Id="rId262" Type="http://schemas.openxmlformats.org/officeDocument/2006/relationships/image" Target="media/image344.jpeg"/><Relationship Id="rId261" Type="http://schemas.openxmlformats.org/officeDocument/2006/relationships/image" Target="media/image343.jpeg"/><Relationship Id="rId260" Type="http://schemas.openxmlformats.org/officeDocument/2006/relationships/image" Target="media/image342.jpeg"/><Relationship Id="rId26" Type="http://schemas.openxmlformats.org/officeDocument/2006/relationships/image" Target="media/image113.jpeg"/><Relationship Id="rId259" Type="http://schemas.openxmlformats.org/officeDocument/2006/relationships/image" Target="media/image341.jpeg"/><Relationship Id="rId258" Type="http://schemas.openxmlformats.org/officeDocument/2006/relationships/image" Target="media/image340.jpeg"/><Relationship Id="rId257" Type="http://schemas.openxmlformats.org/officeDocument/2006/relationships/image" Target="media/image339.jpeg"/><Relationship Id="rId256" Type="http://schemas.openxmlformats.org/officeDocument/2006/relationships/image" Target="media/image338.jpeg"/><Relationship Id="rId255" Type="http://schemas.openxmlformats.org/officeDocument/2006/relationships/image" Target="media/image337.jpeg"/><Relationship Id="rId254" Type="http://schemas.openxmlformats.org/officeDocument/2006/relationships/image" Target="media/image336.jpeg"/><Relationship Id="rId253" Type="http://schemas.openxmlformats.org/officeDocument/2006/relationships/image" Target="media/image335.jpeg"/><Relationship Id="rId252" Type="http://schemas.openxmlformats.org/officeDocument/2006/relationships/image" Target="media/image334.jpeg"/><Relationship Id="rId251" Type="http://schemas.openxmlformats.org/officeDocument/2006/relationships/image" Target="media/image333.jpeg"/><Relationship Id="rId250" Type="http://schemas.openxmlformats.org/officeDocument/2006/relationships/image" Target="media/image332.jpeg"/><Relationship Id="rId25" Type="http://schemas.openxmlformats.org/officeDocument/2006/relationships/image" Target="media/image112.jpeg"/><Relationship Id="rId249" Type="http://schemas.openxmlformats.org/officeDocument/2006/relationships/image" Target="media/image331.jpeg"/><Relationship Id="rId248" Type="http://schemas.openxmlformats.org/officeDocument/2006/relationships/image" Target="media/image330.jpeg"/><Relationship Id="rId247" Type="http://schemas.openxmlformats.org/officeDocument/2006/relationships/image" Target="media/image329.jpeg"/><Relationship Id="rId246" Type="http://schemas.openxmlformats.org/officeDocument/2006/relationships/image" Target="media/image328.jpeg"/><Relationship Id="rId245" Type="http://schemas.openxmlformats.org/officeDocument/2006/relationships/image" Target="media/image327.jpeg"/><Relationship Id="rId244" Type="http://schemas.openxmlformats.org/officeDocument/2006/relationships/image" Target="media/image326.jpeg"/><Relationship Id="rId243" Type="http://schemas.openxmlformats.org/officeDocument/2006/relationships/image" Target="media/image325.jpeg"/><Relationship Id="rId242" Type="http://schemas.openxmlformats.org/officeDocument/2006/relationships/image" Target="media/image324.jpeg"/><Relationship Id="rId241" Type="http://schemas.openxmlformats.org/officeDocument/2006/relationships/image" Target="media/image323.jpeg"/><Relationship Id="rId240" Type="http://schemas.openxmlformats.org/officeDocument/2006/relationships/image" Target="media/image322.png"/><Relationship Id="rId24" Type="http://schemas.openxmlformats.org/officeDocument/2006/relationships/image" Target="media/image111.jpeg"/><Relationship Id="rId239" Type="http://schemas.openxmlformats.org/officeDocument/2006/relationships/image" Target="media/image321.png"/><Relationship Id="rId238" Type="http://schemas.openxmlformats.org/officeDocument/2006/relationships/image" Target="media/image320.png"/><Relationship Id="rId237" Type="http://schemas.openxmlformats.org/officeDocument/2006/relationships/image" Target="media/image319.jpeg"/><Relationship Id="rId236" Type="http://schemas.openxmlformats.org/officeDocument/2006/relationships/image" Target="media/image318.png"/><Relationship Id="rId235" Type="http://schemas.openxmlformats.org/officeDocument/2006/relationships/image" Target="media/image317.png"/><Relationship Id="rId234" Type="http://schemas.openxmlformats.org/officeDocument/2006/relationships/image" Target="media/image316.png"/><Relationship Id="rId233" Type="http://schemas.openxmlformats.org/officeDocument/2006/relationships/image" Target="media/image315.png"/><Relationship Id="rId232" Type="http://schemas.openxmlformats.org/officeDocument/2006/relationships/image" Target="media/image314.png"/><Relationship Id="rId231" Type="http://schemas.openxmlformats.org/officeDocument/2006/relationships/image" Target="media/image313.png"/><Relationship Id="rId230" Type="http://schemas.openxmlformats.org/officeDocument/2006/relationships/image" Target="media/image312.png"/><Relationship Id="rId23" Type="http://schemas.openxmlformats.org/officeDocument/2006/relationships/image" Target="media/image110.png"/><Relationship Id="rId229" Type="http://schemas.openxmlformats.org/officeDocument/2006/relationships/image" Target="media/image311.png"/><Relationship Id="rId228" Type="http://schemas.openxmlformats.org/officeDocument/2006/relationships/image" Target="media/image310.png"/><Relationship Id="rId227" Type="http://schemas.openxmlformats.org/officeDocument/2006/relationships/image" Target="media/image309.png"/><Relationship Id="rId226" Type="http://schemas.openxmlformats.org/officeDocument/2006/relationships/image" Target="media/image308.png"/><Relationship Id="rId225" Type="http://schemas.openxmlformats.org/officeDocument/2006/relationships/image" Target="media/image307.png"/><Relationship Id="rId224" Type="http://schemas.openxmlformats.org/officeDocument/2006/relationships/image" Target="media/image33.jpeg"/><Relationship Id="rId223" Type="http://schemas.openxmlformats.org/officeDocument/2006/relationships/image" Target="media/image31.jpeg"/><Relationship Id="rId222" Type="http://schemas.openxmlformats.org/officeDocument/2006/relationships/image" Target="media/image306.jpeg"/><Relationship Id="rId221" Type="http://schemas.openxmlformats.org/officeDocument/2006/relationships/image" Target="media/image305.jpeg"/><Relationship Id="rId220" Type="http://schemas.openxmlformats.org/officeDocument/2006/relationships/image" Target="media/image304.png"/><Relationship Id="rId22" Type="http://schemas.openxmlformats.org/officeDocument/2006/relationships/image" Target="media/image109.jpeg"/><Relationship Id="rId219" Type="http://schemas.openxmlformats.org/officeDocument/2006/relationships/image" Target="media/image303.png"/><Relationship Id="rId218" Type="http://schemas.openxmlformats.org/officeDocument/2006/relationships/image" Target="media/image302.jpeg"/><Relationship Id="rId217" Type="http://schemas.openxmlformats.org/officeDocument/2006/relationships/image" Target="media/image301.jpeg"/><Relationship Id="rId216" Type="http://schemas.openxmlformats.org/officeDocument/2006/relationships/image" Target="media/image300.jpeg"/><Relationship Id="rId215" Type="http://schemas.openxmlformats.org/officeDocument/2006/relationships/image" Target="media/image299.jpeg"/><Relationship Id="rId214" Type="http://schemas.openxmlformats.org/officeDocument/2006/relationships/image" Target="media/image298.jpeg"/><Relationship Id="rId213" Type="http://schemas.openxmlformats.org/officeDocument/2006/relationships/image" Target="media/image297.png"/><Relationship Id="rId212" Type="http://schemas.openxmlformats.org/officeDocument/2006/relationships/image" Target="media/image296.png"/><Relationship Id="rId211" Type="http://schemas.openxmlformats.org/officeDocument/2006/relationships/image" Target="media/image295.png"/><Relationship Id="rId210" Type="http://schemas.openxmlformats.org/officeDocument/2006/relationships/image" Target="media/image294.png"/><Relationship Id="rId21" Type="http://schemas.openxmlformats.org/officeDocument/2006/relationships/image" Target="media/image108.jpeg"/><Relationship Id="rId209" Type="http://schemas.openxmlformats.org/officeDocument/2006/relationships/image" Target="media/image293.jpeg"/><Relationship Id="rId208" Type="http://schemas.openxmlformats.org/officeDocument/2006/relationships/image" Target="media/image292.png"/><Relationship Id="rId207" Type="http://schemas.openxmlformats.org/officeDocument/2006/relationships/image" Target="media/image291.jpeg"/><Relationship Id="rId206" Type="http://schemas.openxmlformats.org/officeDocument/2006/relationships/image" Target="media/image290.jpeg"/><Relationship Id="rId205" Type="http://schemas.openxmlformats.org/officeDocument/2006/relationships/image" Target="media/image289.jpeg"/><Relationship Id="rId204" Type="http://schemas.openxmlformats.org/officeDocument/2006/relationships/image" Target="media/image288.jpeg"/><Relationship Id="rId203" Type="http://schemas.openxmlformats.org/officeDocument/2006/relationships/image" Target="media/image287.jpeg"/><Relationship Id="rId202" Type="http://schemas.openxmlformats.org/officeDocument/2006/relationships/image" Target="media/image286.jpeg"/><Relationship Id="rId201" Type="http://schemas.openxmlformats.org/officeDocument/2006/relationships/image" Target="media/image285.jpeg"/><Relationship Id="rId200" Type="http://schemas.openxmlformats.org/officeDocument/2006/relationships/image" Target="media/image284.jpeg"/><Relationship Id="rId20" Type="http://schemas.openxmlformats.org/officeDocument/2006/relationships/image" Target="media/image107.jpeg"/><Relationship Id="rId2" Type="http://schemas.openxmlformats.org/officeDocument/2006/relationships/image" Target="media/image89.jpeg"/><Relationship Id="rId199" Type="http://schemas.openxmlformats.org/officeDocument/2006/relationships/image" Target="media/image283.jpeg"/><Relationship Id="rId198" Type="http://schemas.openxmlformats.org/officeDocument/2006/relationships/image" Target="media/image282.jpeg"/><Relationship Id="rId197" Type="http://schemas.openxmlformats.org/officeDocument/2006/relationships/image" Target="media/image281.jpeg"/><Relationship Id="rId196" Type="http://schemas.openxmlformats.org/officeDocument/2006/relationships/image" Target="media/image280.jpeg"/><Relationship Id="rId195" Type="http://schemas.openxmlformats.org/officeDocument/2006/relationships/image" Target="media/image279.jpeg"/><Relationship Id="rId194" Type="http://schemas.openxmlformats.org/officeDocument/2006/relationships/image" Target="media/image278.jpeg"/><Relationship Id="rId193" Type="http://schemas.openxmlformats.org/officeDocument/2006/relationships/image" Target="media/image277.jpeg"/><Relationship Id="rId192" Type="http://schemas.openxmlformats.org/officeDocument/2006/relationships/image" Target="media/image276.png"/><Relationship Id="rId191" Type="http://schemas.openxmlformats.org/officeDocument/2006/relationships/image" Target="media/image275.jpeg"/><Relationship Id="rId190" Type="http://schemas.openxmlformats.org/officeDocument/2006/relationships/image" Target="media/image274.jpeg"/><Relationship Id="rId19" Type="http://schemas.openxmlformats.org/officeDocument/2006/relationships/image" Target="media/image106.jpeg"/><Relationship Id="rId189" Type="http://schemas.openxmlformats.org/officeDocument/2006/relationships/image" Target="media/image273.jpeg"/><Relationship Id="rId188" Type="http://schemas.openxmlformats.org/officeDocument/2006/relationships/image" Target="media/image272.jpeg"/><Relationship Id="rId187" Type="http://schemas.openxmlformats.org/officeDocument/2006/relationships/image" Target="media/image271.png"/><Relationship Id="rId186" Type="http://schemas.openxmlformats.org/officeDocument/2006/relationships/image" Target="media/image270.png"/><Relationship Id="rId185" Type="http://schemas.openxmlformats.org/officeDocument/2006/relationships/image" Target="media/image269.jpeg"/><Relationship Id="rId184" Type="http://schemas.openxmlformats.org/officeDocument/2006/relationships/image" Target="media/image268.png"/><Relationship Id="rId183" Type="http://schemas.openxmlformats.org/officeDocument/2006/relationships/image" Target="media/image267.jpeg"/><Relationship Id="rId182" Type="http://schemas.openxmlformats.org/officeDocument/2006/relationships/image" Target="media/image266.png"/><Relationship Id="rId181" Type="http://schemas.openxmlformats.org/officeDocument/2006/relationships/image" Target="media/image265.png"/><Relationship Id="rId180" Type="http://schemas.openxmlformats.org/officeDocument/2006/relationships/image" Target="media/image264.png"/><Relationship Id="rId18" Type="http://schemas.openxmlformats.org/officeDocument/2006/relationships/image" Target="media/image105.png"/><Relationship Id="rId179" Type="http://schemas.openxmlformats.org/officeDocument/2006/relationships/image" Target="media/image263.jpeg"/><Relationship Id="rId178" Type="http://schemas.openxmlformats.org/officeDocument/2006/relationships/image" Target="media/image262.jpeg"/><Relationship Id="rId177" Type="http://schemas.openxmlformats.org/officeDocument/2006/relationships/image" Target="media/image261.png"/><Relationship Id="rId176" Type="http://schemas.openxmlformats.org/officeDocument/2006/relationships/image" Target="media/image260.png"/><Relationship Id="rId175" Type="http://schemas.openxmlformats.org/officeDocument/2006/relationships/image" Target="media/image259.jpeg"/><Relationship Id="rId174" Type="http://schemas.openxmlformats.org/officeDocument/2006/relationships/image" Target="media/image258.jpeg"/><Relationship Id="rId173" Type="http://schemas.openxmlformats.org/officeDocument/2006/relationships/image" Target="media/image257.jpeg"/><Relationship Id="rId172" Type="http://schemas.openxmlformats.org/officeDocument/2006/relationships/image" Target="media/image256.jpeg"/><Relationship Id="rId171" Type="http://schemas.openxmlformats.org/officeDocument/2006/relationships/image" Target="media/image255.png"/><Relationship Id="rId170" Type="http://schemas.openxmlformats.org/officeDocument/2006/relationships/image" Target="media/image254.png"/><Relationship Id="rId17" Type="http://schemas.openxmlformats.org/officeDocument/2006/relationships/image" Target="media/image104.png"/><Relationship Id="rId169" Type="http://schemas.openxmlformats.org/officeDocument/2006/relationships/image" Target="media/image253.jpeg"/><Relationship Id="rId168" Type="http://schemas.openxmlformats.org/officeDocument/2006/relationships/image" Target="media/image252.jpeg"/><Relationship Id="rId167" Type="http://schemas.openxmlformats.org/officeDocument/2006/relationships/image" Target="media/image251.jpeg"/><Relationship Id="rId166" Type="http://schemas.openxmlformats.org/officeDocument/2006/relationships/image" Target="media/image250.jpeg"/><Relationship Id="rId165" Type="http://schemas.openxmlformats.org/officeDocument/2006/relationships/image" Target="media/image249.jpeg"/><Relationship Id="rId164" Type="http://schemas.openxmlformats.org/officeDocument/2006/relationships/image" Target="media/image248.jpeg"/><Relationship Id="rId163" Type="http://schemas.openxmlformats.org/officeDocument/2006/relationships/image" Target="media/image247.jpeg"/><Relationship Id="rId162" Type="http://schemas.openxmlformats.org/officeDocument/2006/relationships/image" Target="media/image246.jpeg"/><Relationship Id="rId161" Type="http://schemas.openxmlformats.org/officeDocument/2006/relationships/image" Target="media/image245.jpeg"/><Relationship Id="rId160" Type="http://schemas.openxmlformats.org/officeDocument/2006/relationships/image" Target="media/image244.jpeg"/><Relationship Id="rId16" Type="http://schemas.openxmlformats.org/officeDocument/2006/relationships/image" Target="media/image103.png"/><Relationship Id="rId159" Type="http://schemas.openxmlformats.org/officeDocument/2006/relationships/image" Target="media/image243.jpeg"/><Relationship Id="rId158" Type="http://schemas.openxmlformats.org/officeDocument/2006/relationships/image" Target="media/image242.jpeg"/><Relationship Id="rId157" Type="http://schemas.openxmlformats.org/officeDocument/2006/relationships/image" Target="media/image241.jpeg"/><Relationship Id="rId156" Type="http://schemas.openxmlformats.org/officeDocument/2006/relationships/image" Target="media/image240.png"/><Relationship Id="rId155" Type="http://schemas.openxmlformats.org/officeDocument/2006/relationships/image" Target="media/image239.jpeg"/><Relationship Id="rId154" Type="http://schemas.openxmlformats.org/officeDocument/2006/relationships/image" Target="media/image238.jpeg"/><Relationship Id="rId153" Type="http://schemas.openxmlformats.org/officeDocument/2006/relationships/image" Target="media/image237.png"/><Relationship Id="rId152" Type="http://schemas.openxmlformats.org/officeDocument/2006/relationships/image" Target="media/image236.jpeg"/><Relationship Id="rId151" Type="http://schemas.openxmlformats.org/officeDocument/2006/relationships/image" Target="media/image235.jpeg"/><Relationship Id="rId150" Type="http://schemas.openxmlformats.org/officeDocument/2006/relationships/image" Target="media/image234.jpeg"/><Relationship Id="rId15" Type="http://schemas.openxmlformats.org/officeDocument/2006/relationships/image" Target="media/image102.png"/><Relationship Id="rId149" Type="http://schemas.openxmlformats.org/officeDocument/2006/relationships/image" Target="media/image233.jpeg"/><Relationship Id="rId148" Type="http://schemas.openxmlformats.org/officeDocument/2006/relationships/image" Target="media/image232.jpeg"/><Relationship Id="rId147" Type="http://schemas.openxmlformats.org/officeDocument/2006/relationships/image" Target="media/image231.png"/><Relationship Id="rId146" Type="http://schemas.openxmlformats.org/officeDocument/2006/relationships/image" Target="media/image230.jpeg"/><Relationship Id="rId145" Type="http://schemas.openxmlformats.org/officeDocument/2006/relationships/image" Target="media/image67.png"/><Relationship Id="rId144" Type="http://schemas.openxmlformats.org/officeDocument/2006/relationships/image" Target="media/image229.png"/><Relationship Id="rId143" Type="http://schemas.openxmlformats.org/officeDocument/2006/relationships/image" Target="media/image85.jpeg"/><Relationship Id="rId142" Type="http://schemas.openxmlformats.org/officeDocument/2006/relationships/image" Target="media/image228.jpeg"/><Relationship Id="rId141" Type="http://schemas.openxmlformats.org/officeDocument/2006/relationships/image" Target="media/image227.jpeg"/><Relationship Id="rId140" Type="http://schemas.openxmlformats.org/officeDocument/2006/relationships/image" Target="media/image226.jpeg"/><Relationship Id="rId14" Type="http://schemas.openxmlformats.org/officeDocument/2006/relationships/image" Target="media/image101.png"/><Relationship Id="rId139" Type="http://schemas.openxmlformats.org/officeDocument/2006/relationships/image" Target="media/image225.jpeg"/><Relationship Id="rId138" Type="http://schemas.openxmlformats.org/officeDocument/2006/relationships/image" Target="media/image224.jpeg"/><Relationship Id="rId137" Type="http://schemas.openxmlformats.org/officeDocument/2006/relationships/image" Target="media/image223.jpeg"/><Relationship Id="rId136" Type="http://schemas.openxmlformats.org/officeDocument/2006/relationships/image" Target="media/image222.jpeg"/><Relationship Id="rId135" Type="http://schemas.openxmlformats.org/officeDocument/2006/relationships/image" Target="media/image221.jpeg"/><Relationship Id="rId134" Type="http://schemas.openxmlformats.org/officeDocument/2006/relationships/image" Target="media/image220.jpeg"/><Relationship Id="rId133" Type="http://schemas.openxmlformats.org/officeDocument/2006/relationships/image" Target="media/image219.jpeg"/><Relationship Id="rId132" Type="http://schemas.openxmlformats.org/officeDocument/2006/relationships/image" Target="media/image218.png"/><Relationship Id="rId131" Type="http://schemas.openxmlformats.org/officeDocument/2006/relationships/image" Target="media/image217.png"/><Relationship Id="rId130" Type="http://schemas.openxmlformats.org/officeDocument/2006/relationships/image" Target="media/image216.png"/><Relationship Id="rId13" Type="http://schemas.openxmlformats.org/officeDocument/2006/relationships/image" Target="media/image100.png"/><Relationship Id="rId129" Type="http://schemas.openxmlformats.org/officeDocument/2006/relationships/image" Target="media/image215.png"/><Relationship Id="rId128" Type="http://schemas.openxmlformats.org/officeDocument/2006/relationships/image" Target="media/image214.png"/><Relationship Id="rId127" Type="http://schemas.openxmlformats.org/officeDocument/2006/relationships/image" Target="media/image213.png"/><Relationship Id="rId126" Type="http://schemas.openxmlformats.org/officeDocument/2006/relationships/image" Target="media/image212.jpeg"/><Relationship Id="rId125" Type="http://schemas.openxmlformats.org/officeDocument/2006/relationships/image" Target="media/image211.png"/><Relationship Id="rId124" Type="http://schemas.openxmlformats.org/officeDocument/2006/relationships/image" Target="media/image210.png"/><Relationship Id="rId123" Type="http://schemas.openxmlformats.org/officeDocument/2006/relationships/image" Target="media/image209.jpeg"/><Relationship Id="rId122" Type="http://schemas.openxmlformats.org/officeDocument/2006/relationships/image" Target="media/image208.jpeg"/><Relationship Id="rId121" Type="http://schemas.openxmlformats.org/officeDocument/2006/relationships/image" Target="media/image207.jpeg"/><Relationship Id="rId120" Type="http://schemas.openxmlformats.org/officeDocument/2006/relationships/image" Target="media/image206.jpeg"/><Relationship Id="rId12" Type="http://schemas.openxmlformats.org/officeDocument/2006/relationships/image" Target="media/image99.png"/><Relationship Id="rId119" Type="http://schemas.openxmlformats.org/officeDocument/2006/relationships/image" Target="media/image205.jpeg"/><Relationship Id="rId118" Type="http://schemas.openxmlformats.org/officeDocument/2006/relationships/image" Target="media/image204.jpeg"/><Relationship Id="rId117" Type="http://schemas.openxmlformats.org/officeDocument/2006/relationships/image" Target="media/image203.png"/><Relationship Id="rId116" Type="http://schemas.openxmlformats.org/officeDocument/2006/relationships/image" Target="media/image202.jpeg"/><Relationship Id="rId115" Type="http://schemas.openxmlformats.org/officeDocument/2006/relationships/image" Target="media/image201.png"/><Relationship Id="rId114" Type="http://schemas.openxmlformats.org/officeDocument/2006/relationships/image" Target="media/image200.jpeg"/><Relationship Id="rId113" Type="http://schemas.openxmlformats.org/officeDocument/2006/relationships/image" Target="media/image199.jpeg"/><Relationship Id="rId112" Type="http://schemas.openxmlformats.org/officeDocument/2006/relationships/image" Target="media/image198.jpeg"/><Relationship Id="rId111" Type="http://schemas.openxmlformats.org/officeDocument/2006/relationships/image" Target="media/image197.jpeg"/><Relationship Id="rId110" Type="http://schemas.openxmlformats.org/officeDocument/2006/relationships/image" Target="media/image196.jpeg"/><Relationship Id="rId11" Type="http://schemas.openxmlformats.org/officeDocument/2006/relationships/image" Target="media/image98.png"/><Relationship Id="rId109" Type="http://schemas.openxmlformats.org/officeDocument/2006/relationships/image" Target="media/image195.png"/><Relationship Id="rId108" Type="http://schemas.openxmlformats.org/officeDocument/2006/relationships/image" Target="media/image194.jpeg"/><Relationship Id="rId107" Type="http://schemas.openxmlformats.org/officeDocument/2006/relationships/image" Target="media/image193.jpeg"/><Relationship Id="rId106" Type="http://schemas.openxmlformats.org/officeDocument/2006/relationships/image" Target="media/image192.jpeg"/><Relationship Id="rId105" Type="http://schemas.openxmlformats.org/officeDocument/2006/relationships/image" Target="media/image191.png"/><Relationship Id="rId104" Type="http://schemas.openxmlformats.org/officeDocument/2006/relationships/image" Target="media/image190.png"/><Relationship Id="rId103" Type="http://schemas.openxmlformats.org/officeDocument/2006/relationships/image" Target="media/image189.png"/><Relationship Id="rId102" Type="http://schemas.openxmlformats.org/officeDocument/2006/relationships/image" Target="media/image188.png"/><Relationship Id="rId101" Type="http://schemas.openxmlformats.org/officeDocument/2006/relationships/image" Target="media/image187.jpeg"/><Relationship Id="rId100" Type="http://schemas.openxmlformats.org/officeDocument/2006/relationships/image" Target="media/image186.png"/><Relationship Id="rId10" Type="http://schemas.openxmlformats.org/officeDocument/2006/relationships/image" Target="media/image97.png"/><Relationship Id="rId1" Type="http://schemas.openxmlformats.org/officeDocument/2006/relationships/image" Target="media/image88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20" Type="http://www.wps.cn/officeDocument/2020/cellImage" Target="cellimages.xml"/><Relationship Id="rId2" Type="http://schemas.openxmlformats.org/officeDocument/2006/relationships/worksheet" Target="worksheets/sheet2.xml"/><Relationship Id="rId19" Type="http://schemas.openxmlformats.org/officeDocument/2006/relationships/sharedStrings" Target="sharedStrings.xml"/><Relationship Id="rId18" Type="http://schemas.openxmlformats.org/officeDocument/2006/relationships/theme" Target="theme/theme1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NULL" TargetMode="External"/><Relationship Id="rId8" Type="http://schemas.openxmlformats.org/officeDocument/2006/relationships/image" Target="../media/image9.jpeg"/><Relationship Id="rId7" Type="http://schemas.openxmlformats.org/officeDocument/2006/relationships/image" Target="../media/image8.pn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jpeg"/><Relationship Id="rId3" Type="http://schemas.openxmlformats.org/officeDocument/2006/relationships/image" Target="../media/image4.jpeg"/><Relationship Id="rId2" Type="http://schemas.openxmlformats.org/officeDocument/2006/relationships/image" Target="../media/image3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.jpeg"/><Relationship Id="rId8" Type="http://schemas.openxmlformats.org/officeDocument/2006/relationships/image" Target="../media/image23.jpeg"/><Relationship Id="rId70" Type="http://schemas.openxmlformats.org/officeDocument/2006/relationships/image" Target="../media/image85.jpeg"/><Relationship Id="rId7" Type="http://schemas.openxmlformats.org/officeDocument/2006/relationships/image" Target="../media/image22.jpeg"/><Relationship Id="rId69" Type="http://schemas.openxmlformats.org/officeDocument/2006/relationships/image" Target="../media/image84.jpeg"/><Relationship Id="rId68" Type="http://schemas.openxmlformats.org/officeDocument/2006/relationships/image" Target="../media/image83.jpeg"/><Relationship Id="rId67" Type="http://schemas.openxmlformats.org/officeDocument/2006/relationships/image" Target="../media/image82.jpeg"/><Relationship Id="rId66" Type="http://schemas.openxmlformats.org/officeDocument/2006/relationships/image" Target="../media/image81.jpeg"/><Relationship Id="rId65" Type="http://schemas.openxmlformats.org/officeDocument/2006/relationships/image" Target="../media/image80.jpeg"/><Relationship Id="rId64" Type="http://schemas.openxmlformats.org/officeDocument/2006/relationships/image" Target="../media/image79.jpeg"/><Relationship Id="rId63" Type="http://schemas.openxmlformats.org/officeDocument/2006/relationships/image" Target="../media/image78.jpeg"/><Relationship Id="rId62" Type="http://schemas.openxmlformats.org/officeDocument/2006/relationships/image" Target="../media/image77.jpeg"/><Relationship Id="rId61" Type="http://schemas.openxmlformats.org/officeDocument/2006/relationships/image" Target="../media/image76.jpeg"/><Relationship Id="rId60" Type="http://schemas.openxmlformats.org/officeDocument/2006/relationships/image" Target="../media/image75.jpeg"/><Relationship Id="rId6" Type="http://schemas.openxmlformats.org/officeDocument/2006/relationships/image" Target="../media/image21.jpeg"/><Relationship Id="rId59" Type="http://schemas.openxmlformats.org/officeDocument/2006/relationships/image" Target="../media/image74.jpeg"/><Relationship Id="rId58" Type="http://schemas.openxmlformats.org/officeDocument/2006/relationships/image" Target="../media/image73.jpeg"/><Relationship Id="rId57" Type="http://schemas.openxmlformats.org/officeDocument/2006/relationships/image" Target="../media/image72.jpeg"/><Relationship Id="rId56" Type="http://schemas.openxmlformats.org/officeDocument/2006/relationships/image" Target="../media/image71.jpeg"/><Relationship Id="rId55" Type="http://schemas.openxmlformats.org/officeDocument/2006/relationships/image" Target="../media/image70.jpeg"/><Relationship Id="rId54" Type="http://schemas.openxmlformats.org/officeDocument/2006/relationships/image" Target="../media/image69.jpeg"/><Relationship Id="rId53" Type="http://schemas.openxmlformats.org/officeDocument/2006/relationships/image" Target="../media/image68.jpeg"/><Relationship Id="rId52" Type="http://schemas.openxmlformats.org/officeDocument/2006/relationships/image" Target="../media/image67.png"/><Relationship Id="rId51" Type="http://schemas.openxmlformats.org/officeDocument/2006/relationships/image" Target="../media/image66.jpeg"/><Relationship Id="rId50" Type="http://schemas.openxmlformats.org/officeDocument/2006/relationships/image" Target="../media/image65.jpeg"/><Relationship Id="rId5" Type="http://schemas.openxmlformats.org/officeDocument/2006/relationships/image" Target="../media/image20.jpeg"/><Relationship Id="rId49" Type="http://schemas.openxmlformats.org/officeDocument/2006/relationships/image" Target="../media/image64.png"/><Relationship Id="rId48" Type="http://schemas.openxmlformats.org/officeDocument/2006/relationships/image" Target="../media/image63.png"/><Relationship Id="rId47" Type="http://schemas.openxmlformats.org/officeDocument/2006/relationships/image" Target="../media/image62.png"/><Relationship Id="rId46" Type="http://schemas.openxmlformats.org/officeDocument/2006/relationships/image" Target="../media/image61.png"/><Relationship Id="rId45" Type="http://schemas.openxmlformats.org/officeDocument/2006/relationships/image" Target="../media/image60.png"/><Relationship Id="rId44" Type="http://schemas.openxmlformats.org/officeDocument/2006/relationships/image" Target="../media/image59.png"/><Relationship Id="rId43" Type="http://schemas.openxmlformats.org/officeDocument/2006/relationships/image" Target="../media/image58.png"/><Relationship Id="rId42" Type="http://schemas.openxmlformats.org/officeDocument/2006/relationships/image" Target="../media/image57.png"/><Relationship Id="rId41" Type="http://schemas.openxmlformats.org/officeDocument/2006/relationships/image" Target="../media/image56.png"/><Relationship Id="rId40" Type="http://schemas.openxmlformats.org/officeDocument/2006/relationships/image" Target="../media/image55.png"/><Relationship Id="rId4" Type="http://schemas.openxmlformats.org/officeDocument/2006/relationships/image" Target="../media/image19.jpeg"/><Relationship Id="rId39" Type="http://schemas.openxmlformats.org/officeDocument/2006/relationships/image" Target="../media/image54.png"/><Relationship Id="rId38" Type="http://schemas.openxmlformats.org/officeDocument/2006/relationships/image" Target="../media/image53.png"/><Relationship Id="rId37" Type="http://schemas.openxmlformats.org/officeDocument/2006/relationships/image" Target="../media/image52.png"/><Relationship Id="rId36" Type="http://schemas.openxmlformats.org/officeDocument/2006/relationships/image" Target="../media/image51.jpeg"/><Relationship Id="rId35" Type="http://schemas.openxmlformats.org/officeDocument/2006/relationships/image" Target="../media/image50.jpeg"/><Relationship Id="rId34" Type="http://schemas.openxmlformats.org/officeDocument/2006/relationships/image" Target="../media/image49.jpeg"/><Relationship Id="rId33" Type="http://schemas.openxmlformats.org/officeDocument/2006/relationships/image" Target="../media/image48.jpeg"/><Relationship Id="rId32" Type="http://schemas.openxmlformats.org/officeDocument/2006/relationships/image" Target="../media/image47.jpeg"/><Relationship Id="rId31" Type="http://schemas.openxmlformats.org/officeDocument/2006/relationships/image" Target="../media/image46.jpeg"/><Relationship Id="rId30" Type="http://schemas.openxmlformats.org/officeDocument/2006/relationships/image" Target="../media/image45.jpeg"/><Relationship Id="rId3" Type="http://schemas.openxmlformats.org/officeDocument/2006/relationships/image" Target="../media/image18.jpeg"/><Relationship Id="rId29" Type="http://schemas.openxmlformats.org/officeDocument/2006/relationships/image" Target="../media/image44.jpeg"/><Relationship Id="rId28" Type="http://schemas.openxmlformats.org/officeDocument/2006/relationships/image" Target="../media/image43.jpeg"/><Relationship Id="rId27" Type="http://schemas.openxmlformats.org/officeDocument/2006/relationships/image" Target="../media/image42.jpeg"/><Relationship Id="rId26" Type="http://schemas.openxmlformats.org/officeDocument/2006/relationships/image" Target="../media/image41.jpeg"/><Relationship Id="rId25" Type="http://schemas.openxmlformats.org/officeDocument/2006/relationships/image" Target="../media/image40.jpeg"/><Relationship Id="rId24" Type="http://schemas.openxmlformats.org/officeDocument/2006/relationships/image" Target="../media/image39.jpeg"/><Relationship Id="rId23" Type="http://schemas.openxmlformats.org/officeDocument/2006/relationships/image" Target="../media/image38.jpeg"/><Relationship Id="rId22" Type="http://schemas.openxmlformats.org/officeDocument/2006/relationships/image" Target="../media/image37.jpeg"/><Relationship Id="rId21" Type="http://schemas.openxmlformats.org/officeDocument/2006/relationships/image" Target="../media/image36.jpeg"/><Relationship Id="rId20" Type="http://schemas.openxmlformats.org/officeDocument/2006/relationships/image" Target="../media/image35.jpeg"/><Relationship Id="rId2" Type="http://schemas.openxmlformats.org/officeDocument/2006/relationships/image" Target="../media/image17.jpeg"/><Relationship Id="rId19" Type="http://schemas.openxmlformats.org/officeDocument/2006/relationships/image" Target="../media/image34.jpeg"/><Relationship Id="rId18" Type="http://schemas.openxmlformats.org/officeDocument/2006/relationships/image" Target="../media/image33.jpeg"/><Relationship Id="rId17" Type="http://schemas.openxmlformats.org/officeDocument/2006/relationships/image" Target="../media/image32.jpeg"/><Relationship Id="rId16" Type="http://schemas.openxmlformats.org/officeDocument/2006/relationships/image" Target="../media/image31.jpeg"/><Relationship Id="rId15" Type="http://schemas.openxmlformats.org/officeDocument/2006/relationships/image" Target="../media/image30.jpeg"/><Relationship Id="rId14" Type="http://schemas.openxmlformats.org/officeDocument/2006/relationships/image" Target="../media/image29.jpeg"/><Relationship Id="rId13" Type="http://schemas.openxmlformats.org/officeDocument/2006/relationships/image" Target="../media/image28.jpeg"/><Relationship Id="rId12" Type="http://schemas.openxmlformats.org/officeDocument/2006/relationships/image" Target="../media/image27.jpeg"/><Relationship Id="rId11" Type="http://schemas.openxmlformats.org/officeDocument/2006/relationships/image" Target="../media/image26.jpeg"/><Relationship Id="rId10" Type="http://schemas.openxmlformats.org/officeDocument/2006/relationships/image" Target="../media/image25.jpeg"/><Relationship Id="rId1" Type="http://schemas.openxmlformats.org/officeDocument/2006/relationships/image" Target="../media/image16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7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6.w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124460</xdr:colOff>
      <xdr:row>5</xdr:row>
      <xdr:rowOff>123190</xdr:rowOff>
    </xdr:from>
    <xdr:to>
      <xdr:col>8</xdr:col>
      <xdr:colOff>0</xdr:colOff>
      <xdr:row>5</xdr:row>
      <xdr:rowOff>918210</xdr:rowOff>
    </xdr:to>
    <xdr:pic>
      <xdr:nvPicPr>
        <xdr:cNvPr id="5" name="图片 4" descr="展板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08795" y="3941445"/>
          <a:ext cx="1804035" cy="7950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190500</xdr:colOff>
      <xdr:row>3</xdr:row>
      <xdr:rowOff>38100</xdr:rowOff>
    </xdr:from>
    <xdr:to>
      <xdr:col>7</xdr:col>
      <xdr:colOff>1685290</xdr:colOff>
      <xdr:row>3</xdr:row>
      <xdr:rowOff>1038225</xdr:rowOff>
    </xdr:to>
    <xdr:pic>
      <xdr:nvPicPr>
        <xdr:cNvPr id="2" name="图片 1"/>
        <xdr:cNvPicPr>
          <a:picLocks noChangeAspect="1"/>
        </xdr:cNvPicPr>
      </xdr:nvPicPr>
      <xdr:blipFill>
        <a:blip r:embed="rId1">
          <a:lum bright="6000"/>
        </a:blip>
        <a:stretch>
          <a:fillRect/>
        </a:stretch>
      </xdr:blipFill>
      <xdr:spPr>
        <a:xfrm>
          <a:off x="9474835" y="1722755"/>
          <a:ext cx="1494790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187325</xdr:colOff>
      <xdr:row>4</xdr:row>
      <xdr:rowOff>66040</xdr:rowOff>
    </xdr:from>
    <xdr:to>
      <xdr:col>7</xdr:col>
      <xdr:colOff>1687195</xdr:colOff>
      <xdr:row>4</xdr:row>
      <xdr:rowOff>1017905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71660" y="2855595"/>
          <a:ext cx="1499870" cy="951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185420</xdr:colOff>
      <xdr:row>25</xdr:row>
      <xdr:rowOff>24765</xdr:rowOff>
    </xdr:from>
    <xdr:to>
      <xdr:col>7</xdr:col>
      <xdr:colOff>1612900</xdr:colOff>
      <xdr:row>25</xdr:row>
      <xdr:rowOff>1035685</xdr:rowOff>
    </xdr:to>
    <xdr:pic>
      <xdr:nvPicPr>
        <xdr:cNvPr id="4" name="图片 3" descr="ccacf8c95d6c52f8ffe538843ddb615f"/>
        <xdr:cNvPicPr>
          <a:picLocks noChangeAspect="1"/>
        </xdr:cNvPicPr>
      </xdr:nvPicPr>
      <xdr:blipFill>
        <a:blip r:embed="rId3"/>
        <a:srcRect b="40262"/>
        <a:stretch>
          <a:fillRect/>
        </a:stretch>
      </xdr:blipFill>
      <xdr:spPr>
        <a:xfrm>
          <a:off x="9469755" y="27296745"/>
          <a:ext cx="1427480" cy="1010920"/>
        </a:xfrm>
        <a:prstGeom prst="rect">
          <a:avLst/>
        </a:prstGeom>
      </xdr:spPr>
    </xdr:pic>
    <xdr:clientData/>
  </xdr:twoCellAnchor>
  <xdr:twoCellAnchor editAs="oneCell">
    <xdr:from>
      <xdr:col>7</xdr:col>
      <xdr:colOff>245745</xdr:colOff>
      <xdr:row>41</xdr:row>
      <xdr:rowOff>48260</xdr:rowOff>
    </xdr:from>
    <xdr:to>
      <xdr:col>7</xdr:col>
      <xdr:colOff>1690370</xdr:colOff>
      <xdr:row>41</xdr:row>
      <xdr:rowOff>1009650</xdr:rowOff>
    </xdr:to>
    <xdr:pic>
      <xdr:nvPicPr>
        <xdr:cNvPr id="5" name="图片 4" descr="8f937d9b74ba38f81c7f5e22e3bb7297"/>
        <xdr:cNvPicPr>
          <a:picLocks noChangeAspect="1"/>
        </xdr:cNvPicPr>
      </xdr:nvPicPr>
      <xdr:blipFill>
        <a:blip r:embed="rId4"/>
        <a:srcRect l="26231" t="20572" r="25947" b="37021"/>
        <a:stretch>
          <a:fillRect/>
        </a:stretch>
      </xdr:blipFill>
      <xdr:spPr>
        <a:xfrm>
          <a:off x="9530080" y="44509690"/>
          <a:ext cx="1444625" cy="961390"/>
        </a:xfrm>
        <a:prstGeom prst="rect">
          <a:avLst/>
        </a:prstGeom>
      </xdr:spPr>
    </xdr:pic>
    <xdr:clientData/>
  </xdr:twoCellAnchor>
  <xdr:twoCellAnchor editAs="oneCell">
    <xdr:from>
      <xdr:col>7</xdr:col>
      <xdr:colOff>339090</xdr:colOff>
      <xdr:row>52</xdr:row>
      <xdr:rowOff>704850</xdr:rowOff>
    </xdr:from>
    <xdr:to>
      <xdr:col>7</xdr:col>
      <xdr:colOff>1816100</xdr:colOff>
      <xdr:row>54</xdr:row>
      <xdr:rowOff>9525</xdr:rowOff>
    </xdr:to>
    <xdr:pic>
      <xdr:nvPicPr>
        <xdr:cNvPr id="6" name="图片 5" descr="da405f9a14d73f8c628ed7bb48bcaa85"/>
        <xdr:cNvPicPr>
          <a:picLocks noChangeAspect="1"/>
        </xdr:cNvPicPr>
      </xdr:nvPicPr>
      <xdr:blipFill>
        <a:blip r:embed="rId5">
          <a:lum bright="18000" contrast="36000"/>
        </a:blip>
        <a:srcRect l="23496" t="45946" r="29947" b="17662"/>
        <a:stretch>
          <a:fillRect/>
        </a:stretch>
      </xdr:blipFill>
      <xdr:spPr>
        <a:xfrm>
          <a:off x="9623425" y="56621045"/>
          <a:ext cx="1477010" cy="866775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68</xdr:row>
      <xdr:rowOff>39370</xdr:rowOff>
    </xdr:from>
    <xdr:to>
      <xdr:col>7</xdr:col>
      <xdr:colOff>1036320</xdr:colOff>
      <xdr:row>68</xdr:row>
      <xdr:rowOff>676275</xdr:rowOff>
    </xdr:to>
    <xdr:pic>
      <xdr:nvPicPr>
        <xdr:cNvPr id="7" name="图片 6" descr="9fe4318b302776402647756604fe2d3d"/>
        <xdr:cNvPicPr>
          <a:picLocks noChangeAspect="1"/>
        </xdr:cNvPicPr>
      </xdr:nvPicPr>
      <xdr:blipFill>
        <a:blip r:embed="rId6"/>
        <a:srcRect l="9570" t="15226" b="6972"/>
        <a:stretch>
          <a:fillRect/>
        </a:stretch>
      </xdr:blipFill>
      <xdr:spPr>
        <a:xfrm>
          <a:off x="9341485" y="70412610"/>
          <a:ext cx="979170" cy="636905"/>
        </a:xfrm>
        <a:prstGeom prst="rect">
          <a:avLst/>
        </a:prstGeom>
      </xdr:spPr>
    </xdr:pic>
    <xdr:clientData/>
  </xdr:twoCellAnchor>
  <xdr:twoCellAnchor editAs="oneCell">
    <xdr:from>
      <xdr:col>7</xdr:col>
      <xdr:colOff>481330</xdr:colOff>
      <xdr:row>38</xdr:row>
      <xdr:rowOff>37465</xdr:rowOff>
    </xdr:from>
    <xdr:to>
      <xdr:col>7</xdr:col>
      <xdr:colOff>1696085</xdr:colOff>
      <xdr:row>38</xdr:row>
      <xdr:rowOff>1090295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765665" y="41120695"/>
          <a:ext cx="1214755" cy="105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330835</xdr:colOff>
      <xdr:row>13</xdr:row>
      <xdr:rowOff>186055</xdr:rowOff>
    </xdr:from>
    <xdr:to>
      <xdr:col>7</xdr:col>
      <xdr:colOff>1654810</xdr:colOff>
      <xdr:row>13</xdr:row>
      <xdr:rowOff>2030730</xdr:rowOff>
    </xdr:to>
    <xdr:pic>
      <xdr:nvPicPr>
        <xdr:cNvPr id="9" name="图片 8"/>
        <xdr:cNvPicPr>
          <a:picLocks noChangeAspect="1"/>
        </xdr:cNvPicPr>
      </xdr:nvPicPr>
      <xdr:blipFill>
        <a:blip r:embed="rId8" r:link="rId9"/>
        <a:srcRect l="19652" t="12856" r="17791" b="21347"/>
        <a:stretch>
          <a:fillRect/>
        </a:stretch>
      </xdr:blipFill>
      <xdr:spPr>
        <a:xfrm>
          <a:off x="9615170" y="12976860"/>
          <a:ext cx="1323975" cy="1844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1080135</xdr:colOff>
      <xdr:row>68</xdr:row>
      <xdr:rowOff>95250</xdr:rowOff>
    </xdr:from>
    <xdr:to>
      <xdr:col>8</xdr:col>
      <xdr:colOff>0</xdr:colOff>
      <xdr:row>68</xdr:row>
      <xdr:rowOff>642620</xdr:rowOff>
    </xdr:to>
    <xdr:pic>
      <xdr:nvPicPr>
        <xdr:cNvPr id="10" name="图片 9" descr="c69fc71ae5bb8ccce6e1736bc0f9c8df"/>
        <xdr:cNvPicPr>
          <a:picLocks noChangeAspect="1"/>
        </xdr:cNvPicPr>
      </xdr:nvPicPr>
      <xdr:blipFill>
        <a:blip r:embed="rId10"/>
        <a:srcRect l="9928" t="23688" r="5468" b="11691"/>
        <a:stretch>
          <a:fillRect/>
        </a:stretch>
      </xdr:blipFill>
      <xdr:spPr>
        <a:xfrm>
          <a:off x="10364470" y="70468490"/>
          <a:ext cx="848360" cy="547370"/>
        </a:xfrm>
        <a:prstGeom prst="rect">
          <a:avLst/>
        </a:prstGeom>
      </xdr:spPr>
    </xdr:pic>
    <xdr:clientData/>
  </xdr:twoCellAnchor>
  <xdr:twoCellAnchor editAs="oneCell">
    <xdr:from>
      <xdr:col>7</xdr:col>
      <xdr:colOff>676275</xdr:colOff>
      <xdr:row>68</xdr:row>
      <xdr:rowOff>561975</xdr:rowOff>
    </xdr:from>
    <xdr:to>
      <xdr:col>7</xdr:col>
      <xdr:colOff>1453515</xdr:colOff>
      <xdr:row>69</xdr:row>
      <xdr:rowOff>30480</xdr:rowOff>
    </xdr:to>
    <xdr:pic>
      <xdr:nvPicPr>
        <xdr:cNvPr id="11" name="图片 10" descr="4e5cef413edb0ce32d4599228fc4996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960610" y="70935215"/>
          <a:ext cx="777240" cy="588010"/>
        </a:xfrm>
        <a:prstGeom prst="rect">
          <a:avLst/>
        </a:prstGeom>
      </xdr:spPr>
    </xdr:pic>
    <xdr:clientData/>
  </xdr:twoCellAnchor>
  <xdr:twoCellAnchor editAs="oneCell">
    <xdr:from>
      <xdr:col>7</xdr:col>
      <xdr:colOff>128905</xdr:colOff>
      <xdr:row>69</xdr:row>
      <xdr:rowOff>167640</xdr:rowOff>
    </xdr:from>
    <xdr:to>
      <xdr:col>8</xdr:col>
      <xdr:colOff>0</xdr:colOff>
      <xdr:row>69</xdr:row>
      <xdr:rowOff>1442720</xdr:rowOff>
    </xdr:to>
    <xdr:pic>
      <xdr:nvPicPr>
        <xdr:cNvPr id="12" name="图片 11" descr="IMG_20250224_12040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413240" y="71660385"/>
          <a:ext cx="1799590" cy="1275080"/>
        </a:xfrm>
        <a:prstGeom prst="rect">
          <a:avLst/>
        </a:prstGeom>
      </xdr:spPr>
    </xdr:pic>
    <xdr:clientData/>
  </xdr:twoCellAnchor>
  <xdr:twoCellAnchor editAs="oneCell">
    <xdr:from>
      <xdr:col>7</xdr:col>
      <xdr:colOff>76835</xdr:colOff>
      <xdr:row>70</xdr:row>
      <xdr:rowOff>47625</xdr:rowOff>
    </xdr:from>
    <xdr:to>
      <xdr:col>7</xdr:col>
      <xdr:colOff>1824990</xdr:colOff>
      <xdr:row>70</xdr:row>
      <xdr:rowOff>1325245</xdr:rowOff>
    </xdr:to>
    <xdr:pic>
      <xdr:nvPicPr>
        <xdr:cNvPr id="13" name="图片 12" descr="IMG_20250224_1205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361170" y="73127870"/>
          <a:ext cx="1748155" cy="1277620"/>
        </a:xfrm>
        <a:prstGeom prst="rect">
          <a:avLst/>
        </a:prstGeom>
      </xdr:spPr>
    </xdr:pic>
    <xdr:clientData/>
  </xdr:twoCellAnchor>
  <xdr:twoCellAnchor editAs="oneCell">
    <xdr:from>
      <xdr:col>7</xdr:col>
      <xdr:colOff>168910</xdr:colOff>
      <xdr:row>71</xdr:row>
      <xdr:rowOff>47625</xdr:rowOff>
    </xdr:from>
    <xdr:to>
      <xdr:col>7</xdr:col>
      <xdr:colOff>1838960</xdr:colOff>
      <xdr:row>71</xdr:row>
      <xdr:rowOff>892175</xdr:rowOff>
    </xdr:to>
    <xdr:pic>
      <xdr:nvPicPr>
        <xdr:cNvPr id="14" name="图片 13" descr="cbf0a3d4a70042cf09bdbc9d213ff48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453245" y="74562970"/>
          <a:ext cx="1670050" cy="844550"/>
        </a:xfrm>
        <a:prstGeom prst="rect">
          <a:avLst/>
        </a:prstGeom>
      </xdr:spPr>
    </xdr:pic>
    <xdr:clientData/>
  </xdr:twoCellAnchor>
  <xdr:twoCellAnchor editAs="oneCell">
    <xdr:from>
      <xdr:col>7</xdr:col>
      <xdr:colOff>588645</xdr:colOff>
      <xdr:row>71</xdr:row>
      <xdr:rowOff>757555</xdr:rowOff>
    </xdr:from>
    <xdr:to>
      <xdr:col>7</xdr:col>
      <xdr:colOff>1445895</xdr:colOff>
      <xdr:row>71</xdr:row>
      <xdr:rowOff>1609090</xdr:rowOff>
    </xdr:to>
    <xdr:pic>
      <xdr:nvPicPr>
        <xdr:cNvPr id="15" name="图片 14" descr="98f5b4784c30624d7069e2dbc887d4a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872980" y="75272900"/>
          <a:ext cx="857250" cy="85153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417195</xdr:colOff>
      <xdr:row>13</xdr:row>
      <xdr:rowOff>19050</xdr:rowOff>
    </xdr:from>
    <xdr:to>
      <xdr:col>7</xdr:col>
      <xdr:colOff>1346200</xdr:colOff>
      <xdr:row>13</xdr:row>
      <xdr:rowOff>912495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l="9543" r="11828"/>
        <a:stretch>
          <a:fillRect/>
        </a:stretch>
      </xdr:blipFill>
      <xdr:spPr>
        <a:xfrm>
          <a:off x="10798810" y="11551920"/>
          <a:ext cx="929005" cy="893445"/>
        </a:xfrm>
        <a:prstGeom prst="rect">
          <a:avLst/>
        </a:prstGeom>
      </xdr:spPr>
    </xdr:pic>
    <xdr:clientData/>
  </xdr:twoCellAnchor>
  <xdr:twoCellAnchor editAs="oneCell">
    <xdr:from>
      <xdr:col>7</xdr:col>
      <xdr:colOff>363220</xdr:colOff>
      <xdr:row>14</xdr:row>
      <xdr:rowOff>56515</xdr:rowOff>
    </xdr:from>
    <xdr:to>
      <xdr:col>7</xdr:col>
      <xdr:colOff>1236345</xdr:colOff>
      <xdr:row>14</xdr:row>
      <xdr:rowOff>959485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13697" r="13165"/>
        <a:stretch>
          <a:fillRect/>
        </a:stretch>
      </xdr:blipFill>
      <xdr:spPr>
        <a:xfrm>
          <a:off x="10744835" y="12606655"/>
          <a:ext cx="873125" cy="902970"/>
        </a:xfrm>
        <a:prstGeom prst="rect">
          <a:avLst/>
        </a:prstGeom>
      </xdr:spPr>
    </xdr:pic>
    <xdr:clientData/>
  </xdr:twoCellAnchor>
  <xdr:twoCellAnchor editAs="oneCell">
    <xdr:from>
      <xdr:col>7</xdr:col>
      <xdr:colOff>458470</xdr:colOff>
      <xdr:row>15</xdr:row>
      <xdr:rowOff>33020</xdr:rowOff>
    </xdr:from>
    <xdr:to>
      <xdr:col>7</xdr:col>
      <xdr:colOff>1268095</xdr:colOff>
      <xdr:row>15</xdr:row>
      <xdr:rowOff>850265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l="13817" r="11217"/>
        <a:stretch>
          <a:fillRect/>
        </a:stretch>
      </xdr:blipFill>
      <xdr:spPr>
        <a:xfrm>
          <a:off x="10840085" y="13600430"/>
          <a:ext cx="809625" cy="817245"/>
        </a:xfrm>
        <a:prstGeom prst="rect">
          <a:avLst/>
        </a:prstGeom>
      </xdr:spPr>
    </xdr:pic>
    <xdr:clientData/>
  </xdr:twoCellAnchor>
  <xdr:twoCellAnchor editAs="oneCell">
    <xdr:from>
      <xdr:col>7</xdr:col>
      <xdr:colOff>595312</xdr:colOff>
      <xdr:row>98</xdr:row>
      <xdr:rowOff>207150</xdr:rowOff>
    </xdr:from>
    <xdr:to>
      <xdr:col>7</xdr:col>
      <xdr:colOff>1309687</xdr:colOff>
      <xdr:row>99</xdr:row>
      <xdr:rowOff>7125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l="13010" r="20843"/>
        <a:stretch>
          <a:fillRect/>
        </a:stretch>
      </xdr:blipFill>
      <xdr:spPr>
        <a:xfrm>
          <a:off x="10976610" y="99123500"/>
          <a:ext cx="714375" cy="817245"/>
        </a:xfrm>
        <a:prstGeom prst="rect">
          <a:avLst/>
        </a:prstGeom>
      </xdr:spPr>
    </xdr:pic>
    <xdr:clientData/>
  </xdr:twoCellAnchor>
  <xdr:twoCellAnchor editAs="oneCell">
    <xdr:from>
      <xdr:col>7</xdr:col>
      <xdr:colOff>480975</xdr:colOff>
      <xdr:row>102</xdr:row>
      <xdr:rowOff>157125</xdr:rowOff>
    </xdr:from>
    <xdr:to>
      <xdr:col>7</xdr:col>
      <xdr:colOff>1561110</xdr:colOff>
      <xdr:row>102</xdr:row>
      <xdr:rowOff>967385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62310" y="103142415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373800</xdr:colOff>
      <xdr:row>109</xdr:row>
      <xdr:rowOff>183300</xdr:rowOff>
    </xdr:from>
    <xdr:to>
      <xdr:col>7</xdr:col>
      <xdr:colOff>1453935</xdr:colOff>
      <xdr:row>109</xdr:row>
      <xdr:rowOff>993560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54995" y="11028934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466650</xdr:colOff>
      <xdr:row>113</xdr:row>
      <xdr:rowOff>180900</xdr:rowOff>
    </xdr:from>
    <xdr:to>
      <xdr:col>7</xdr:col>
      <xdr:colOff>1546785</xdr:colOff>
      <xdr:row>113</xdr:row>
      <xdr:rowOff>991160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47705" y="11435588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412115</xdr:colOff>
      <xdr:row>16</xdr:row>
      <xdr:rowOff>97790</xdr:rowOff>
    </xdr:from>
    <xdr:to>
      <xdr:col>7</xdr:col>
      <xdr:colOff>1273175</xdr:colOff>
      <xdr:row>16</xdr:row>
      <xdr:rowOff>907415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rcRect r="20249"/>
        <a:stretch>
          <a:fillRect/>
        </a:stretch>
      </xdr:blipFill>
      <xdr:spPr>
        <a:xfrm>
          <a:off x="10793730" y="14682470"/>
          <a:ext cx="86106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490425</xdr:colOff>
      <xdr:row>17</xdr:row>
      <xdr:rowOff>176100</xdr:rowOff>
    </xdr:from>
    <xdr:to>
      <xdr:col>7</xdr:col>
      <xdr:colOff>1570560</xdr:colOff>
      <xdr:row>17</xdr:row>
      <xdr:rowOff>985725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871835" y="15777845"/>
          <a:ext cx="108013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440400</xdr:colOff>
      <xdr:row>18</xdr:row>
      <xdr:rowOff>192750</xdr:rowOff>
    </xdr:from>
    <xdr:to>
      <xdr:col>7</xdr:col>
      <xdr:colOff>1238595</xdr:colOff>
      <xdr:row>18</xdr:row>
      <xdr:rowOff>1003010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rcRect r="26125"/>
        <a:stretch>
          <a:fillRect/>
        </a:stretch>
      </xdr:blipFill>
      <xdr:spPr>
        <a:xfrm>
          <a:off x="10821670" y="16811625"/>
          <a:ext cx="79819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390375</xdr:colOff>
      <xdr:row>118</xdr:row>
      <xdr:rowOff>209400</xdr:rowOff>
    </xdr:from>
    <xdr:to>
      <xdr:col>7</xdr:col>
      <xdr:colOff>1470510</xdr:colOff>
      <xdr:row>119</xdr:row>
      <xdr:rowOff>10010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771505" y="119470805"/>
          <a:ext cx="1080135" cy="817880"/>
        </a:xfrm>
        <a:prstGeom prst="rect">
          <a:avLst/>
        </a:prstGeom>
      </xdr:spPr>
    </xdr:pic>
    <xdr:clientData/>
  </xdr:twoCellAnchor>
  <xdr:twoCellAnchor editAs="oneCell">
    <xdr:from>
      <xdr:col>7</xdr:col>
      <xdr:colOff>407025</xdr:colOff>
      <xdr:row>19</xdr:row>
      <xdr:rowOff>159375</xdr:rowOff>
    </xdr:from>
    <xdr:to>
      <xdr:col>7</xdr:col>
      <xdr:colOff>1487160</xdr:colOff>
      <xdr:row>19</xdr:row>
      <xdr:rowOff>969635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788015" y="1779524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361950</xdr:colOff>
      <xdr:row>120</xdr:row>
      <xdr:rowOff>180975</xdr:rowOff>
    </xdr:from>
    <xdr:to>
      <xdr:col>7</xdr:col>
      <xdr:colOff>1576705</xdr:colOff>
      <xdr:row>120</xdr:row>
      <xdr:rowOff>990600</xdr:rowOff>
    </xdr:to>
    <xdr:pic>
      <xdr:nvPicPr>
        <xdr:cNvPr id="14" name="图片 13"/>
        <xdr:cNvPicPr/>
      </xdr:nvPicPr>
      <xdr:blipFill>
        <a:blip r:embed="rId13"/>
        <a:stretch>
          <a:fillRect/>
        </a:stretch>
      </xdr:blipFill>
      <xdr:spPr>
        <a:xfrm>
          <a:off x="10743565" y="121477405"/>
          <a:ext cx="121475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409575</xdr:colOff>
      <xdr:row>20</xdr:row>
      <xdr:rowOff>161925</xdr:rowOff>
    </xdr:from>
    <xdr:to>
      <xdr:col>7</xdr:col>
      <xdr:colOff>1489075</xdr:colOff>
      <xdr:row>20</xdr:row>
      <xdr:rowOff>971550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791190" y="18815685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369075</xdr:colOff>
      <xdr:row>21</xdr:row>
      <xdr:rowOff>102375</xdr:rowOff>
    </xdr:from>
    <xdr:to>
      <xdr:col>7</xdr:col>
      <xdr:colOff>1449210</xdr:colOff>
      <xdr:row>21</xdr:row>
      <xdr:rowOff>912000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750550" y="19773265"/>
          <a:ext cx="108013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272400</xdr:colOff>
      <xdr:row>125</xdr:row>
      <xdr:rowOff>40274</xdr:rowOff>
    </xdr:from>
    <xdr:to>
      <xdr:col>7</xdr:col>
      <xdr:colOff>1562085</xdr:colOff>
      <xdr:row>126</xdr:row>
      <xdr:rowOff>2174</xdr:rowOff>
    </xdr:to>
    <xdr:pic>
      <xdr:nvPicPr>
        <xdr:cNvPr id="17" name="图片 16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808970" y="126267210"/>
          <a:ext cx="979170" cy="1289685"/>
        </a:xfrm>
        <a:prstGeom prst="rect">
          <a:avLst/>
        </a:prstGeom>
      </xdr:spPr>
    </xdr:pic>
    <xdr:clientData/>
  </xdr:twoCellAnchor>
  <xdr:twoCellAnchor editAs="oneCell">
    <xdr:from>
      <xdr:col>7</xdr:col>
      <xdr:colOff>430950</xdr:colOff>
      <xdr:row>126</xdr:row>
      <xdr:rowOff>0</xdr:rowOff>
    </xdr:from>
    <xdr:to>
      <xdr:col>7</xdr:col>
      <xdr:colOff>1511085</xdr:colOff>
      <xdr:row>126</xdr:row>
      <xdr:rowOff>809625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812145" y="127400050"/>
          <a:ext cx="108013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447600</xdr:colOff>
      <xdr:row>126</xdr:row>
      <xdr:rowOff>114225</xdr:rowOff>
    </xdr:from>
    <xdr:to>
      <xdr:col>7</xdr:col>
      <xdr:colOff>1527735</xdr:colOff>
      <xdr:row>126</xdr:row>
      <xdr:rowOff>924485</xdr:rowOff>
    </xdr:to>
    <xdr:pic>
      <xdr:nvPicPr>
        <xdr:cNvPr id="19" name="图片 18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8655" y="127513715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578550</xdr:colOff>
      <xdr:row>5</xdr:row>
      <xdr:rowOff>130875</xdr:rowOff>
    </xdr:from>
    <xdr:to>
      <xdr:col>7</xdr:col>
      <xdr:colOff>1658050</xdr:colOff>
      <xdr:row>5</xdr:row>
      <xdr:rowOff>940500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960100" y="379984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478500</xdr:colOff>
      <xdr:row>22</xdr:row>
      <xdr:rowOff>116550</xdr:rowOff>
    </xdr:from>
    <xdr:to>
      <xdr:col>7</xdr:col>
      <xdr:colOff>1317970</xdr:colOff>
      <xdr:row>22</xdr:row>
      <xdr:rowOff>926810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rcRect r="22303"/>
        <a:stretch>
          <a:fillRect/>
        </a:stretch>
      </xdr:blipFill>
      <xdr:spPr>
        <a:xfrm>
          <a:off x="10859770" y="20804505"/>
          <a:ext cx="839470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374015</xdr:colOff>
      <xdr:row>23</xdr:row>
      <xdr:rowOff>66040</xdr:rowOff>
    </xdr:from>
    <xdr:to>
      <xdr:col>7</xdr:col>
      <xdr:colOff>1453515</xdr:colOff>
      <xdr:row>23</xdr:row>
      <xdr:rowOff>875665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755630" y="2177161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266700</xdr:colOff>
      <xdr:row>64</xdr:row>
      <xdr:rowOff>19050</xdr:rowOff>
    </xdr:from>
    <xdr:to>
      <xdr:col>7</xdr:col>
      <xdr:colOff>1562100</xdr:colOff>
      <xdr:row>64</xdr:row>
      <xdr:rowOff>990600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48315" y="64089280"/>
          <a:ext cx="1295400" cy="971550"/>
        </a:xfrm>
        <a:prstGeom prst="rect">
          <a:avLst/>
        </a:prstGeom>
      </xdr:spPr>
    </xdr:pic>
    <xdr:clientData/>
  </xdr:twoCellAnchor>
  <xdr:twoCellAnchor editAs="oneCell">
    <xdr:from>
      <xdr:col>7</xdr:col>
      <xdr:colOff>562069</xdr:colOff>
      <xdr:row>99</xdr:row>
      <xdr:rowOff>0</xdr:rowOff>
    </xdr:from>
    <xdr:to>
      <xdr:col>7</xdr:col>
      <xdr:colOff>1344389</xdr:colOff>
      <xdr:row>100</xdr:row>
      <xdr:rowOff>34290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943590" y="99933760"/>
          <a:ext cx="782320" cy="1051560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65</xdr:row>
      <xdr:rowOff>47625</xdr:rowOff>
    </xdr:from>
    <xdr:to>
      <xdr:col>7</xdr:col>
      <xdr:colOff>1600200</xdr:colOff>
      <xdr:row>66</xdr:row>
      <xdr:rowOff>9525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86415" y="65135125"/>
          <a:ext cx="1295400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314325</xdr:colOff>
      <xdr:row>66</xdr:row>
      <xdr:rowOff>47625</xdr:rowOff>
    </xdr:from>
    <xdr:to>
      <xdr:col>7</xdr:col>
      <xdr:colOff>1609725</xdr:colOff>
      <xdr:row>67</xdr:row>
      <xdr:rowOff>9525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95940" y="66152395"/>
          <a:ext cx="1295400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66</xdr:row>
      <xdr:rowOff>1000125</xdr:rowOff>
    </xdr:from>
    <xdr:to>
      <xdr:col>7</xdr:col>
      <xdr:colOff>1638300</xdr:colOff>
      <xdr:row>67</xdr:row>
      <xdr:rowOff>962025</xdr:rowOff>
    </xdr:to>
    <xdr:pic>
      <xdr:nvPicPr>
        <xdr:cNvPr id="27" name="图片 2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724515" y="67104895"/>
          <a:ext cx="1295400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581119</xdr:colOff>
      <xdr:row>99</xdr:row>
      <xdr:rowOff>57150</xdr:rowOff>
    </xdr:from>
    <xdr:to>
      <xdr:col>7</xdr:col>
      <xdr:colOff>1309464</xdr:colOff>
      <xdr:row>100</xdr:row>
      <xdr:rowOff>19050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962640" y="99990910"/>
          <a:ext cx="728345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720725</xdr:colOff>
      <xdr:row>63</xdr:row>
      <xdr:rowOff>19685</xdr:rowOff>
    </xdr:from>
    <xdr:to>
      <xdr:col>7</xdr:col>
      <xdr:colOff>1340485</xdr:colOff>
      <xdr:row>63</xdr:row>
      <xdr:rowOff>999490</xdr:rowOff>
    </xdr:to>
    <xdr:pic>
      <xdr:nvPicPr>
        <xdr:cNvPr id="30" name="图片 29"/>
        <xdr:cNvPicPr>
          <a:picLocks noChangeAspect="1"/>
        </xdr:cNvPicPr>
      </xdr:nvPicPr>
      <xdr:blipFill>
        <a:blip r:embed="rId25"/>
        <a:srcRect l="14015" t="3126" r="22980" b="22159"/>
        <a:stretch>
          <a:fillRect/>
        </a:stretch>
      </xdr:blipFill>
      <xdr:spPr>
        <a:xfrm>
          <a:off x="11102340" y="63072645"/>
          <a:ext cx="619760" cy="979805"/>
        </a:xfrm>
        <a:prstGeom prst="rect">
          <a:avLst/>
        </a:prstGeom>
      </xdr:spPr>
    </xdr:pic>
    <xdr:clientData/>
  </xdr:twoCellAnchor>
  <xdr:twoCellAnchor editAs="oneCell">
    <xdr:from>
      <xdr:col>7</xdr:col>
      <xdr:colOff>531814</xdr:colOff>
      <xdr:row>68</xdr:row>
      <xdr:rowOff>15334</xdr:rowOff>
    </xdr:from>
    <xdr:to>
      <xdr:col>7</xdr:col>
      <xdr:colOff>1362394</xdr:colOff>
      <xdr:row>68</xdr:row>
      <xdr:rowOff>1166589</xdr:rowOff>
    </xdr:to>
    <xdr:pic>
      <xdr:nvPicPr>
        <xdr:cNvPr id="31" name="图片 30" descr="D:\Download\企业微信文件\WXWork\1688850117483371\Cache\Image\2025-02\4235263f311cbf1720e8c4ced26742f5_origin(1).jpg"/>
        <xdr:cNvPicPr>
          <a:picLocks noChangeAspect="1" noChangeArrowheads="1"/>
        </xdr:cNvPicPr>
      </xdr:nvPicPr>
      <xdr:blipFill>
        <a:blip r:embed="rId26"/>
        <a:srcRect l="20934" t="8688" r="20923" b="11013"/>
        <a:stretch>
          <a:fillRect/>
        </a:stretch>
      </xdr:blipFill>
      <xdr:spPr>
        <a:xfrm>
          <a:off x="10913110" y="68154550"/>
          <a:ext cx="830580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484187</xdr:colOff>
      <xdr:row>69</xdr:row>
      <xdr:rowOff>9559</xdr:rowOff>
    </xdr:from>
    <xdr:to>
      <xdr:col>7</xdr:col>
      <xdr:colOff>1349057</xdr:colOff>
      <xdr:row>70</xdr:row>
      <xdr:rowOff>79409</xdr:rowOff>
    </xdr:to>
    <xdr:pic>
      <xdr:nvPicPr>
        <xdr:cNvPr id="32" name="图片 31" descr="D:\Download\企业微信文件\WXWork\1688850117483371\Cache\Image\2025-02\4b20e5bdaac92bd3b6becfc422958348_origin(1).jpg"/>
        <xdr:cNvPicPr>
          <a:picLocks noChangeAspect="1" noChangeArrowheads="1"/>
        </xdr:cNvPicPr>
      </xdr:nvPicPr>
      <xdr:blipFill>
        <a:blip r:embed="rId27"/>
        <a:srcRect l="28729" t="9194" r="15217" b="12945"/>
        <a:stretch>
          <a:fillRect/>
        </a:stretch>
      </xdr:blipFill>
      <xdr:spPr>
        <a:xfrm>
          <a:off x="10865485" y="69425185"/>
          <a:ext cx="864870" cy="1087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523874</xdr:colOff>
      <xdr:row>70</xdr:row>
      <xdr:rowOff>23813</xdr:rowOff>
    </xdr:from>
    <xdr:to>
      <xdr:col>7</xdr:col>
      <xdr:colOff>1283969</xdr:colOff>
      <xdr:row>71</xdr:row>
      <xdr:rowOff>63818</xdr:rowOff>
    </xdr:to>
    <xdr:pic>
      <xdr:nvPicPr>
        <xdr:cNvPr id="33" name="图片 32" descr="D:\Download\企业微信文件\WXWork\1688850117483371\Cache\Image\2025-02\8f9cf87bfc17515ec08f6a938293e2a6_origin(1).jpg"/>
        <xdr:cNvPicPr>
          <a:picLocks noChangeAspect="1" noChangeArrowheads="1"/>
        </xdr:cNvPicPr>
      </xdr:nvPicPr>
      <xdr:blipFill>
        <a:blip r:embed="rId28"/>
        <a:srcRect l="12785" t="2066" r="21527" b="7714"/>
        <a:stretch>
          <a:fillRect/>
        </a:stretch>
      </xdr:blipFill>
      <xdr:spPr>
        <a:xfrm>
          <a:off x="10904855" y="70456425"/>
          <a:ext cx="76009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507999</xdr:colOff>
      <xdr:row>71</xdr:row>
      <xdr:rowOff>48914</xdr:rowOff>
    </xdr:from>
    <xdr:to>
      <xdr:col>7</xdr:col>
      <xdr:colOff>1302384</xdr:colOff>
      <xdr:row>72</xdr:row>
      <xdr:rowOff>140989</xdr:rowOff>
    </xdr:to>
    <xdr:pic>
      <xdr:nvPicPr>
        <xdr:cNvPr id="34" name="图片 33" descr="D:\Download\企业微信文件\WXWork\1688850117483371\Cache\Image\2025-02\facb4f4d54b84a03e89d0dd7855fca57_origin(1).jpg"/>
        <xdr:cNvPicPr>
          <a:picLocks noChangeAspect="1" noChangeArrowheads="1"/>
        </xdr:cNvPicPr>
      </xdr:nvPicPr>
      <xdr:blipFill>
        <a:blip r:embed="rId29"/>
        <a:srcRect l="20089" t="5432" r="13224" b="2489"/>
        <a:stretch>
          <a:fillRect/>
        </a:stretch>
      </xdr:blipFill>
      <xdr:spPr>
        <a:xfrm>
          <a:off x="10888980" y="71499095"/>
          <a:ext cx="794385" cy="1109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428624</xdr:colOff>
      <xdr:row>24</xdr:row>
      <xdr:rowOff>155575</xdr:rowOff>
    </xdr:from>
    <xdr:to>
      <xdr:col>7</xdr:col>
      <xdr:colOff>1238249</xdr:colOff>
      <xdr:row>24</xdr:row>
      <xdr:rowOff>971550</xdr:rowOff>
    </xdr:to>
    <xdr:pic>
      <xdr:nvPicPr>
        <xdr:cNvPr id="37" name="图片 36"/>
        <xdr:cNvPicPr>
          <a:picLocks noChangeAspect="1"/>
        </xdr:cNvPicPr>
      </xdr:nvPicPr>
      <xdr:blipFill>
        <a:blip r:embed="rId3"/>
        <a:srcRect l="13817" r="11217"/>
        <a:stretch>
          <a:fillRect/>
        </a:stretch>
      </xdr:blipFill>
      <xdr:spPr>
        <a:xfrm>
          <a:off x="10809605" y="22878415"/>
          <a:ext cx="809625" cy="815975"/>
        </a:xfrm>
        <a:prstGeom prst="rect">
          <a:avLst/>
        </a:prstGeom>
      </xdr:spPr>
    </xdr:pic>
    <xdr:clientData/>
  </xdr:twoCellAnchor>
  <xdr:twoCellAnchor editAs="oneCell">
    <xdr:from>
      <xdr:col>7</xdr:col>
      <xdr:colOff>271425</xdr:colOff>
      <xdr:row>104</xdr:row>
      <xdr:rowOff>157125</xdr:rowOff>
    </xdr:from>
    <xdr:to>
      <xdr:col>7</xdr:col>
      <xdr:colOff>1351560</xdr:colOff>
      <xdr:row>104</xdr:row>
      <xdr:rowOff>967385</xdr:rowOff>
    </xdr:to>
    <xdr:pic>
      <xdr:nvPicPr>
        <xdr:cNvPr id="38" name="图片 3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652760" y="105176955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373800</xdr:colOff>
      <xdr:row>110</xdr:row>
      <xdr:rowOff>183300</xdr:rowOff>
    </xdr:from>
    <xdr:to>
      <xdr:col>7</xdr:col>
      <xdr:colOff>1453935</xdr:colOff>
      <xdr:row>110</xdr:row>
      <xdr:rowOff>993560</xdr:rowOff>
    </xdr:to>
    <xdr:pic>
      <xdr:nvPicPr>
        <xdr:cNvPr id="39" name="图片 3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54995" y="11130661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466650</xdr:colOff>
      <xdr:row>114</xdr:row>
      <xdr:rowOff>180900</xdr:rowOff>
    </xdr:from>
    <xdr:to>
      <xdr:col>7</xdr:col>
      <xdr:colOff>1546785</xdr:colOff>
      <xdr:row>114</xdr:row>
      <xdr:rowOff>991160</xdr:rowOff>
    </xdr:to>
    <xdr:pic>
      <xdr:nvPicPr>
        <xdr:cNvPr id="40" name="图片 3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47705" y="11537315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598904</xdr:colOff>
      <xdr:row>121</xdr:row>
      <xdr:rowOff>120500</xdr:rowOff>
    </xdr:from>
    <xdr:to>
      <xdr:col>7</xdr:col>
      <xdr:colOff>1211044</xdr:colOff>
      <xdr:row>121</xdr:row>
      <xdr:rowOff>937110</xdr:rowOff>
    </xdr:to>
    <xdr:pic>
      <xdr:nvPicPr>
        <xdr:cNvPr id="41" name="图片 40"/>
        <xdr:cNvPicPr>
          <a:picLocks noChangeAspect="1"/>
        </xdr:cNvPicPr>
      </xdr:nvPicPr>
      <xdr:blipFill>
        <a:blip r:embed="rId30"/>
        <a:srcRect/>
        <a:stretch>
          <a:fillRect/>
        </a:stretch>
      </xdr:blipFill>
      <xdr:spPr>
        <a:xfrm>
          <a:off x="10980420" y="122433715"/>
          <a:ext cx="612140" cy="816610"/>
        </a:xfrm>
        <a:prstGeom prst="rect">
          <a:avLst/>
        </a:prstGeom>
      </xdr:spPr>
    </xdr:pic>
    <xdr:clientData/>
  </xdr:twoCellAnchor>
  <xdr:twoCellAnchor editAs="oneCell">
    <xdr:from>
      <xdr:col>7</xdr:col>
      <xdr:colOff>273050</xdr:colOff>
      <xdr:row>122</xdr:row>
      <xdr:rowOff>174625</xdr:rowOff>
    </xdr:from>
    <xdr:to>
      <xdr:col>7</xdr:col>
      <xdr:colOff>1487805</xdr:colOff>
      <xdr:row>122</xdr:row>
      <xdr:rowOff>984250</xdr:rowOff>
    </xdr:to>
    <xdr:pic>
      <xdr:nvPicPr>
        <xdr:cNvPr id="42" name="图片 41"/>
        <xdr:cNvPicPr/>
      </xdr:nvPicPr>
      <xdr:blipFill>
        <a:blip r:embed="rId13"/>
        <a:stretch>
          <a:fillRect/>
        </a:stretch>
      </xdr:blipFill>
      <xdr:spPr>
        <a:xfrm>
          <a:off x="10654665" y="123505595"/>
          <a:ext cx="121475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578550</xdr:colOff>
      <xdr:row>72</xdr:row>
      <xdr:rowOff>0</xdr:rowOff>
    </xdr:from>
    <xdr:to>
      <xdr:col>7</xdr:col>
      <xdr:colOff>1658050</xdr:colOff>
      <xdr:row>72</xdr:row>
      <xdr:rowOff>809625</xdr:rowOff>
    </xdr:to>
    <xdr:pic>
      <xdr:nvPicPr>
        <xdr:cNvPr id="48" name="图片 4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960100" y="7246747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509475</xdr:colOff>
      <xdr:row>72</xdr:row>
      <xdr:rowOff>71325</xdr:rowOff>
    </xdr:from>
    <xdr:to>
      <xdr:col>7</xdr:col>
      <xdr:colOff>1589610</xdr:colOff>
      <xdr:row>72</xdr:row>
      <xdr:rowOff>880950</xdr:rowOff>
    </xdr:to>
    <xdr:pic>
      <xdr:nvPicPr>
        <xdr:cNvPr id="49" name="图片 4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890885" y="72538590"/>
          <a:ext cx="108013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478500</xdr:colOff>
      <xdr:row>25</xdr:row>
      <xdr:rowOff>116550</xdr:rowOff>
    </xdr:from>
    <xdr:to>
      <xdr:col>7</xdr:col>
      <xdr:colOff>1317970</xdr:colOff>
      <xdr:row>25</xdr:row>
      <xdr:rowOff>926810</xdr:rowOff>
    </xdr:to>
    <xdr:pic>
      <xdr:nvPicPr>
        <xdr:cNvPr id="50" name="图片 49"/>
        <xdr:cNvPicPr>
          <a:picLocks noChangeAspect="1"/>
        </xdr:cNvPicPr>
      </xdr:nvPicPr>
      <xdr:blipFill>
        <a:blip r:embed="rId20"/>
        <a:srcRect r="22303"/>
        <a:stretch>
          <a:fillRect/>
        </a:stretch>
      </xdr:blipFill>
      <xdr:spPr>
        <a:xfrm>
          <a:off x="10859770" y="23856315"/>
          <a:ext cx="839470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585793</xdr:colOff>
      <xdr:row>2</xdr:row>
      <xdr:rowOff>139700</xdr:rowOff>
    </xdr:from>
    <xdr:to>
      <xdr:col>7</xdr:col>
      <xdr:colOff>1189043</xdr:colOff>
      <xdr:row>2</xdr:row>
      <xdr:rowOff>944245</xdr:rowOff>
    </xdr:to>
    <xdr:pic>
      <xdr:nvPicPr>
        <xdr:cNvPr id="54" name="图片 53"/>
        <xdr:cNvPicPr>
          <a:picLocks noChangeAspect="1"/>
        </xdr:cNvPicPr>
      </xdr:nvPicPr>
      <xdr:blipFill>
        <a:blip r:embed="rId32"/>
        <a:srcRect/>
        <a:stretch>
          <a:fillRect/>
        </a:stretch>
      </xdr:blipFill>
      <xdr:spPr>
        <a:xfrm>
          <a:off x="10967085" y="756920"/>
          <a:ext cx="603250" cy="804545"/>
        </a:xfrm>
        <a:prstGeom prst="rect">
          <a:avLst/>
        </a:prstGeom>
      </xdr:spPr>
    </xdr:pic>
    <xdr:clientData/>
  </xdr:twoCellAnchor>
  <xdr:twoCellAnchor editAs="oneCell">
    <xdr:from>
      <xdr:col>7</xdr:col>
      <xdr:colOff>218440</xdr:colOff>
      <xdr:row>73</xdr:row>
      <xdr:rowOff>136525</xdr:rowOff>
    </xdr:from>
    <xdr:to>
      <xdr:col>7</xdr:col>
      <xdr:colOff>821690</xdr:colOff>
      <xdr:row>73</xdr:row>
      <xdr:rowOff>941070</xdr:rowOff>
    </xdr:to>
    <xdr:pic>
      <xdr:nvPicPr>
        <xdr:cNvPr id="55" name="图片 54"/>
        <xdr:cNvPicPr>
          <a:picLocks noChangeAspect="1"/>
        </xdr:cNvPicPr>
      </xdr:nvPicPr>
      <xdr:blipFill>
        <a:blip r:embed="rId33"/>
        <a:srcRect/>
        <a:stretch>
          <a:fillRect/>
        </a:stretch>
      </xdr:blipFill>
      <xdr:spPr>
        <a:xfrm>
          <a:off x="10600055" y="73621265"/>
          <a:ext cx="603250" cy="804545"/>
        </a:xfrm>
        <a:prstGeom prst="rect">
          <a:avLst/>
        </a:prstGeom>
      </xdr:spPr>
    </xdr:pic>
    <xdr:clientData/>
  </xdr:twoCellAnchor>
  <xdr:twoCellAnchor editAs="oneCell">
    <xdr:from>
      <xdr:col>7</xdr:col>
      <xdr:colOff>115893</xdr:colOff>
      <xdr:row>74</xdr:row>
      <xdr:rowOff>0</xdr:rowOff>
    </xdr:from>
    <xdr:to>
      <xdr:col>7</xdr:col>
      <xdr:colOff>719143</xdr:colOff>
      <xdr:row>74</xdr:row>
      <xdr:rowOff>804545</xdr:rowOff>
    </xdr:to>
    <xdr:pic>
      <xdr:nvPicPr>
        <xdr:cNvPr id="56" name="图片 55"/>
        <xdr:cNvPicPr>
          <a:picLocks noChangeAspect="1"/>
        </xdr:cNvPicPr>
      </xdr:nvPicPr>
      <xdr:blipFill>
        <a:blip r:embed="rId34"/>
        <a:srcRect/>
        <a:stretch>
          <a:fillRect/>
        </a:stretch>
      </xdr:blipFill>
      <xdr:spPr>
        <a:xfrm>
          <a:off x="10497185" y="74502010"/>
          <a:ext cx="603250" cy="804545"/>
        </a:xfrm>
        <a:prstGeom prst="rect">
          <a:avLst/>
        </a:prstGeom>
      </xdr:spPr>
    </xdr:pic>
    <xdr:clientData/>
  </xdr:twoCellAnchor>
  <xdr:twoCellAnchor editAs="oneCell">
    <xdr:from>
      <xdr:col>7</xdr:col>
      <xdr:colOff>115893</xdr:colOff>
      <xdr:row>75</xdr:row>
      <xdr:rowOff>0</xdr:rowOff>
    </xdr:from>
    <xdr:to>
      <xdr:col>7</xdr:col>
      <xdr:colOff>719143</xdr:colOff>
      <xdr:row>75</xdr:row>
      <xdr:rowOff>804545</xdr:rowOff>
    </xdr:to>
    <xdr:pic>
      <xdr:nvPicPr>
        <xdr:cNvPr id="57" name="图片 56"/>
        <xdr:cNvPicPr>
          <a:picLocks noChangeAspect="1"/>
        </xdr:cNvPicPr>
      </xdr:nvPicPr>
      <xdr:blipFill>
        <a:blip r:embed="rId34"/>
        <a:srcRect/>
        <a:stretch>
          <a:fillRect/>
        </a:stretch>
      </xdr:blipFill>
      <xdr:spPr>
        <a:xfrm>
          <a:off x="10497185" y="75519280"/>
          <a:ext cx="603250" cy="804545"/>
        </a:xfrm>
        <a:prstGeom prst="rect">
          <a:avLst/>
        </a:prstGeom>
      </xdr:spPr>
    </xdr:pic>
    <xdr:clientData/>
  </xdr:twoCellAnchor>
  <xdr:twoCellAnchor editAs="oneCell">
    <xdr:from>
      <xdr:col>7</xdr:col>
      <xdr:colOff>226695</xdr:colOff>
      <xdr:row>76</xdr:row>
      <xdr:rowOff>104140</xdr:rowOff>
    </xdr:from>
    <xdr:to>
      <xdr:col>7</xdr:col>
      <xdr:colOff>829945</xdr:colOff>
      <xdr:row>76</xdr:row>
      <xdr:rowOff>908685</xdr:rowOff>
    </xdr:to>
    <xdr:pic>
      <xdr:nvPicPr>
        <xdr:cNvPr id="58" name="图片 57"/>
        <xdr:cNvPicPr>
          <a:picLocks noChangeAspect="1"/>
        </xdr:cNvPicPr>
      </xdr:nvPicPr>
      <xdr:blipFill>
        <a:blip r:embed="rId33"/>
        <a:srcRect/>
        <a:stretch>
          <a:fillRect/>
        </a:stretch>
      </xdr:blipFill>
      <xdr:spPr>
        <a:xfrm>
          <a:off x="10608310" y="76640690"/>
          <a:ext cx="603250" cy="804545"/>
        </a:xfrm>
        <a:prstGeom prst="rect">
          <a:avLst/>
        </a:prstGeom>
      </xdr:spPr>
    </xdr:pic>
    <xdr:clientData/>
  </xdr:twoCellAnchor>
  <xdr:twoCellAnchor editAs="oneCell">
    <xdr:from>
      <xdr:col>7</xdr:col>
      <xdr:colOff>236220</xdr:colOff>
      <xdr:row>123</xdr:row>
      <xdr:rowOff>129540</xdr:rowOff>
    </xdr:from>
    <xdr:to>
      <xdr:col>7</xdr:col>
      <xdr:colOff>1450975</xdr:colOff>
      <xdr:row>123</xdr:row>
      <xdr:rowOff>939165</xdr:rowOff>
    </xdr:to>
    <xdr:pic>
      <xdr:nvPicPr>
        <xdr:cNvPr id="59" name="图片 58"/>
        <xdr:cNvPicPr/>
      </xdr:nvPicPr>
      <xdr:blipFill>
        <a:blip r:embed="rId13"/>
        <a:stretch>
          <a:fillRect/>
        </a:stretch>
      </xdr:blipFill>
      <xdr:spPr>
        <a:xfrm>
          <a:off x="10617835" y="124477780"/>
          <a:ext cx="121475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281940</xdr:colOff>
      <xdr:row>103</xdr:row>
      <xdr:rowOff>213360</xdr:rowOff>
    </xdr:from>
    <xdr:to>
      <xdr:col>7</xdr:col>
      <xdr:colOff>1361440</xdr:colOff>
      <xdr:row>104</xdr:row>
      <xdr:rowOff>5715</xdr:rowOff>
    </xdr:to>
    <xdr:pic>
      <xdr:nvPicPr>
        <xdr:cNvPr id="60" name="图片 5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663555" y="10421620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115</xdr:row>
      <xdr:rowOff>114300</xdr:rowOff>
    </xdr:from>
    <xdr:to>
      <xdr:col>7</xdr:col>
      <xdr:colOff>1422400</xdr:colOff>
      <xdr:row>115</xdr:row>
      <xdr:rowOff>923925</xdr:rowOff>
    </xdr:to>
    <xdr:pic>
      <xdr:nvPicPr>
        <xdr:cNvPr id="61" name="图片 6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724515" y="11632438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411480</xdr:colOff>
      <xdr:row>97</xdr:row>
      <xdr:rowOff>106680</xdr:rowOff>
    </xdr:from>
    <xdr:to>
      <xdr:col>7</xdr:col>
      <xdr:colOff>1203960</xdr:colOff>
      <xdr:row>97</xdr:row>
      <xdr:rowOff>1012190</xdr:rowOff>
    </xdr:to>
    <xdr:pic>
      <xdr:nvPicPr>
        <xdr:cNvPr id="62" name="图片 61"/>
        <xdr:cNvPicPr>
          <a:picLocks noChangeAspect="1"/>
        </xdr:cNvPicPr>
      </xdr:nvPicPr>
      <xdr:blipFill>
        <a:blip r:embed="rId35"/>
        <a:srcRect l="13010" r="20843"/>
        <a:stretch>
          <a:fillRect/>
        </a:stretch>
      </xdr:blipFill>
      <xdr:spPr>
        <a:xfrm>
          <a:off x="10793095" y="98005900"/>
          <a:ext cx="792480" cy="905510"/>
        </a:xfrm>
        <a:prstGeom prst="rect">
          <a:avLst/>
        </a:prstGeom>
      </xdr:spPr>
    </xdr:pic>
    <xdr:clientData/>
  </xdr:twoCellAnchor>
  <xdr:twoCellAnchor editAs="oneCell">
    <xdr:from>
      <xdr:col>7</xdr:col>
      <xdr:colOff>198120</xdr:colOff>
      <xdr:row>80</xdr:row>
      <xdr:rowOff>38100</xdr:rowOff>
    </xdr:from>
    <xdr:to>
      <xdr:col>7</xdr:col>
      <xdr:colOff>1493520</xdr:colOff>
      <xdr:row>80</xdr:row>
      <xdr:rowOff>1016000</xdr:rowOff>
    </xdr:to>
    <xdr:pic>
      <xdr:nvPicPr>
        <xdr:cNvPr id="63" name="图片 6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579735" y="80643730"/>
          <a:ext cx="1295400" cy="977900"/>
        </a:xfrm>
        <a:prstGeom prst="rect">
          <a:avLst/>
        </a:prstGeom>
      </xdr:spPr>
    </xdr:pic>
    <xdr:clientData/>
  </xdr:twoCellAnchor>
  <xdr:twoCellAnchor editAs="oneCell">
    <xdr:from>
      <xdr:col>7</xdr:col>
      <xdr:colOff>537973</xdr:colOff>
      <xdr:row>79</xdr:row>
      <xdr:rowOff>45720</xdr:rowOff>
    </xdr:from>
    <xdr:to>
      <xdr:col>7</xdr:col>
      <xdr:colOff>1299973</xdr:colOff>
      <xdr:row>79</xdr:row>
      <xdr:rowOff>998220</xdr:rowOff>
    </xdr:to>
    <xdr:pic>
      <xdr:nvPicPr>
        <xdr:cNvPr id="64" name="图片 6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919460" y="79634080"/>
          <a:ext cx="762000" cy="952500"/>
        </a:xfrm>
        <a:prstGeom prst="rect">
          <a:avLst/>
        </a:prstGeom>
      </xdr:spPr>
    </xdr:pic>
    <xdr:clientData/>
  </xdr:twoCellAnchor>
  <xdr:twoCellAnchor editAs="oneCell">
    <xdr:from>
      <xdr:col>7</xdr:col>
      <xdr:colOff>36695</xdr:colOff>
      <xdr:row>3</xdr:row>
      <xdr:rowOff>45720</xdr:rowOff>
    </xdr:from>
    <xdr:to>
      <xdr:col>8</xdr:col>
      <xdr:colOff>0</xdr:colOff>
      <xdr:row>3</xdr:row>
      <xdr:rowOff>974090</xdr:rowOff>
    </xdr:to>
    <xdr:pic>
      <xdr:nvPicPr>
        <xdr:cNvPr id="65" name="图片 6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flipH="1">
          <a:off x="10417810" y="1680210"/>
          <a:ext cx="1775460" cy="928370"/>
        </a:xfrm>
        <a:prstGeom prst="rect">
          <a:avLst/>
        </a:prstGeom>
      </xdr:spPr>
    </xdr:pic>
    <xdr:clientData/>
  </xdr:twoCellAnchor>
  <xdr:twoCellAnchor editAs="oneCell">
    <xdr:from>
      <xdr:col>7</xdr:col>
      <xdr:colOff>438851</xdr:colOff>
      <xdr:row>77</xdr:row>
      <xdr:rowOff>22860</xdr:rowOff>
    </xdr:from>
    <xdr:to>
      <xdr:col>7</xdr:col>
      <xdr:colOff>1307531</xdr:colOff>
      <xdr:row>78</xdr:row>
      <xdr:rowOff>38735</xdr:rowOff>
    </xdr:to>
    <xdr:pic>
      <xdr:nvPicPr>
        <xdr:cNvPr id="66" name="图片 6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820400" y="77576680"/>
          <a:ext cx="868680" cy="1033145"/>
        </a:xfrm>
        <a:prstGeom prst="rect">
          <a:avLst/>
        </a:prstGeom>
      </xdr:spPr>
    </xdr:pic>
    <xdr:clientData/>
  </xdr:twoCellAnchor>
  <xdr:twoCellAnchor editAs="oneCell">
    <xdr:from>
      <xdr:col>7</xdr:col>
      <xdr:colOff>449580</xdr:colOff>
      <xdr:row>78</xdr:row>
      <xdr:rowOff>66680</xdr:rowOff>
    </xdr:from>
    <xdr:to>
      <xdr:col>7</xdr:col>
      <xdr:colOff>1158240</xdr:colOff>
      <xdr:row>79</xdr:row>
      <xdr:rowOff>46995</xdr:rowOff>
    </xdr:to>
    <xdr:pic>
      <xdr:nvPicPr>
        <xdr:cNvPr id="67" name="图片 6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31195" y="78637765"/>
          <a:ext cx="708660" cy="997585"/>
        </a:xfrm>
        <a:prstGeom prst="rect">
          <a:avLst/>
        </a:prstGeom>
      </xdr:spPr>
    </xdr:pic>
    <xdr:clientData/>
  </xdr:twoCellAnchor>
  <xdr:twoCellAnchor editAs="oneCell">
    <xdr:from>
      <xdr:col>7</xdr:col>
      <xdr:colOff>234950</xdr:colOff>
      <xdr:row>11</xdr:row>
      <xdr:rowOff>76200</xdr:rowOff>
    </xdr:from>
    <xdr:to>
      <xdr:col>8</xdr:col>
      <xdr:colOff>0</xdr:colOff>
      <xdr:row>11</xdr:row>
      <xdr:rowOff>927735</xdr:rowOff>
    </xdr:to>
    <xdr:pic>
      <xdr:nvPicPr>
        <xdr:cNvPr id="69" name="图片 6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flipH="1">
          <a:off x="10616565" y="9574530"/>
          <a:ext cx="1576705" cy="851535"/>
        </a:xfrm>
        <a:prstGeom prst="rect">
          <a:avLst/>
        </a:prstGeom>
      </xdr:spPr>
    </xdr:pic>
    <xdr:clientData/>
  </xdr:twoCellAnchor>
  <xdr:twoCellAnchor editAs="oneCell">
    <xdr:from>
      <xdr:col>7</xdr:col>
      <xdr:colOff>156632</xdr:colOff>
      <xdr:row>6</xdr:row>
      <xdr:rowOff>152399</xdr:rowOff>
    </xdr:from>
    <xdr:to>
      <xdr:col>7</xdr:col>
      <xdr:colOff>1600622</xdr:colOff>
      <xdr:row>6</xdr:row>
      <xdr:rowOff>964564</xdr:rowOff>
    </xdr:to>
    <xdr:pic>
      <xdr:nvPicPr>
        <xdr:cNvPr id="70" name="图片 6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537825" y="4838065"/>
          <a:ext cx="1443990" cy="812165"/>
        </a:xfrm>
        <a:prstGeom prst="rect">
          <a:avLst/>
        </a:prstGeom>
      </xdr:spPr>
    </xdr:pic>
    <xdr:clientData/>
  </xdr:twoCellAnchor>
  <xdr:twoCellAnchor editAs="oneCell">
    <xdr:from>
      <xdr:col>7</xdr:col>
      <xdr:colOff>373380</xdr:colOff>
      <xdr:row>26</xdr:row>
      <xdr:rowOff>31305</xdr:rowOff>
    </xdr:from>
    <xdr:to>
      <xdr:col>7</xdr:col>
      <xdr:colOff>1485900</xdr:colOff>
      <xdr:row>26</xdr:row>
      <xdr:rowOff>1006030</xdr:rowOff>
    </xdr:to>
    <xdr:pic>
      <xdr:nvPicPr>
        <xdr:cNvPr id="71" name="图片 7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754995" y="24788495"/>
          <a:ext cx="1112520" cy="974725"/>
        </a:xfrm>
        <a:prstGeom prst="rect">
          <a:avLst/>
        </a:prstGeom>
      </xdr:spPr>
    </xdr:pic>
    <xdr:clientData/>
  </xdr:twoCellAnchor>
  <xdr:twoCellAnchor editAs="oneCell">
    <xdr:from>
      <xdr:col>7</xdr:col>
      <xdr:colOff>316609</xdr:colOff>
      <xdr:row>27</xdr:row>
      <xdr:rowOff>45720</xdr:rowOff>
    </xdr:from>
    <xdr:to>
      <xdr:col>7</xdr:col>
      <xdr:colOff>1348484</xdr:colOff>
      <xdr:row>27</xdr:row>
      <xdr:rowOff>952500</xdr:rowOff>
    </xdr:to>
    <xdr:pic>
      <xdr:nvPicPr>
        <xdr:cNvPr id="72" name="图片 7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H="1">
          <a:off x="10697845" y="25820370"/>
          <a:ext cx="1031875" cy="906780"/>
        </a:xfrm>
        <a:prstGeom prst="rect">
          <a:avLst/>
        </a:prstGeom>
      </xdr:spPr>
    </xdr:pic>
    <xdr:clientData/>
  </xdr:twoCellAnchor>
  <xdr:twoCellAnchor editAs="oneCell">
    <xdr:from>
      <xdr:col>7</xdr:col>
      <xdr:colOff>339280</xdr:colOff>
      <xdr:row>28</xdr:row>
      <xdr:rowOff>45720</xdr:rowOff>
    </xdr:from>
    <xdr:to>
      <xdr:col>7</xdr:col>
      <xdr:colOff>1340675</xdr:colOff>
      <xdr:row>28</xdr:row>
      <xdr:rowOff>1052830</xdr:rowOff>
    </xdr:to>
    <xdr:pic>
      <xdr:nvPicPr>
        <xdr:cNvPr id="73" name="图片 7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 flipH="1">
          <a:off x="10720705" y="26837640"/>
          <a:ext cx="1001395" cy="1007110"/>
        </a:xfrm>
        <a:prstGeom prst="rect">
          <a:avLst/>
        </a:prstGeom>
      </xdr:spPr>
    </xdr:pic>
    <xdr:clientData/>
  </xdr:twoCellAnchor>
  <xdr:twoCellAnchor editAs="oneCell">
    <xdr:from>
      <xdr:col>7</xdr:col>
      <xdr:colOff>595312</xdr:colOff>
      <xdr:row>96</xdr:row>
      <xdr:rowOff>207150</xdr:rowOff>
    </xdr:from>
    <xdr:to>
      <xdr:col>7</xdr:col>
      <xdr:colOff>1309687</xdr:colOff>
      <xdr:row>97</xdr:row>
      <xdr:rowOff>7125</xdr:rowOff>
    </xdr:to>
    <xdr:pic>
      <xdr:nvPicPr>
        <xdr:cNvPr id="76" name="图片 75"/>
        <xdr:cNvPicPr>
          <a:picLocks noChangeAspect="1"/>
        </xdr:cNvPicPr>
      </xdr:nvPicPr>
      <xdr:blipFill>
        <a:blip r:embed="rId4"/>
        <a:srcRect l="13010" r="20843"/>
        <a:stretch>
          <a:fillRect/>
        </a:stretch>
      </xdr:blipFill>
      <xdr:spPr>
        <a:xfrm>
          <a:off x="10976610" y="97088960"/>
          <a:ext cx="714375" cy="817245"/>
        </a:xfrm>
        <a:prstGeom prst="rect">
          <a:avLst/>
        </a:prstGeom>
      </xdr:spPr>
    </xdr:pic>
    <xdr:clientData/>
  </xdr:twoCellAnchor>
  <xdr:twoCellAnchor editAs="oneCell">
    <xdr:from>
      <xdr:col>7</xdr:col>
      <xdr:colOff>480975</xdr:colOff>
      <xdr:row>105</xdr:row>
      <xdr:rowOff>157125</xdr:rowOff>
    </xdr:from>
    <xdr:to>
      <xdr:col>7</xdr:col>
      <xdr:colOff>1561110</xdr:colOff>
      <xdr:row>105</xdr:row>
      <xdr:rowOff>967385</xdr:rowOff>
    </xdr:to>
    <xdr:pic>
      <xdr:nvPicPr>
        <xdr:cNvPr id="77" name="图片 7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62310" y="106194225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373800</xdr:colOff>
      <xdr:row>111</xdr:row>
      <xdr:rowOff>183300</xdr:rowOff>
    </xdr:from>
    <xdr:to>
      <xdr:col>7</xdr:col>
      <xdr:colOff>1453935</xdr:colOff>
      <xdr:row>111</xdr:row>
      <xdr:rowOff>993560</xdr:rowOff>
    </xdr:to>
    <xdr:pic>
      <xdr:nvPicPr>
        <xdr:cNvPr id="78" name="图片 7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54995" y="11232388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466650</xdr:colOff>
      <xdr:row>116</xdr:row>
      <xdr:rowOff>180900</xdr:rowOff>
    </xdr:from>
    <xdr:to>
      <xdr:col>7</xdr:col>
      <xdr:colOff>1546785</xdr:colOff>
      <xdr:row>116</xdr:row>
      <xdr:rowOff>991160</xdr:rowOff>
    </xdr:to>
    <xdr:pic>
      <xdr:nvPicPr>
        <xdr:cNvPr id="79" name="图片 7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47705" y="11740769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478500</xdr:colOff>
      <xdr:row>35</xdr:row>
      <xdr:rowOff>116550</xdr:rowOff>
    </xdr:from>
    <xdr:to>
      <xdr:col>7</xdr:col>
      <xdr:colOff>1317970</xdr:colOff>
      <xdr:row>35</xdr:row>
      <xdr:rowOff>926810</xdr:rowOff>
    </xdr:to>
    <xdr:pic>
      <xdr:nvPicPr>
        <xdr:cNvPr id="80" name="图片 79"/>
        <xdr:cNvPicPr>
          <a:picLocks noChangeAspect="1"/>
        </xdr:cNvPicPr>
      </xdr:nvPicPr>
      <xdr:blipFill>
        <a:blip r:embed="rId20"/>
        <a:srcRect r="22303"/>
        <a:stretch>
          <a:fillRect/>
        </a:stretch>
      </xdr:blipFill>
      <xdr:spPr>
        <a:xfrm>
          <a:off x="10859770" y="34685605"/>
          <a:ext cx="839470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595312</xdr:colOff>
      <xdr:row>95</xdr:row>
      <xdr:rowOff>207150</xdr:rowOff>
    </xdr:from>
    <xdr:to>
      <xdr:col>7</xdr:col>
      <xdr:colOff>1309687</xdr:colOff>
      <xdr:row>96</xdr:row>
      <xdr:rowOff>7125</xdr:rowOff>
    </xdr:to>
    <xdr:pic>
      <xdr:nvPicPr>
        <xdr:cNvPr id="81" name="图片 80"/>
        <xdr:cNvPicPr>
          <a:picLocks noChangeAspect="1"/>
        </xdr:cNvPicPr>
      </xdr:nvPicPr>
      <xdr:blipFill>
        <a:blip r:embed="rId4"/>
        <a:srcRect l="13010" r="20843"/>
        <a:stretch>
          <a:fillRect/>
        </a:stretch>
      </xdr:blipFill>
      <xdr:spPr>
        <a:xfrm>
          <a:off x="10976610" y="96071690"/>
          <a:ext cx="714375" cy="817245"/>
        </a:xfrm>
        <a:prstGeom prst="rect">
          <a:avLst/>
        </a:prstGeom>
      </xdr:spPr>
    </xdr:pic>
    <xdr:clientData/>
  </xdr:twoCellAnchor>
  <xdr:twoCellAnchor editAs="oneCell">
    <xdr:from>
      <xdr:col>7</xdr:col>
      <xdr:colOff>480975</xdr:colOff>
      <xdr:row>106</xdr:row>
      <xdr:rowOff>157125</xdr:rowOff>
    </xdr:from>
    <xdr:to>
      <xdr:col>7</xdr:col>
      <xdr:colOff>1561110</xdr:colOff>
      <xdr:row>106</xdr:row>
      <xdr:rowOff>967385</xdr:rowOff>
    </xdr:to>
    <xdr:pic>
      <xdr:nvPicPr>
        <xdr:cNvPr id="82" name="图片 8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62310" y="107211495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373800</xdr:colOff>
      <xdr:row>108</xdr:row>
      <xdr:rowOff>183300</xdr:rowOff>
    </xdr:from>
    <xdr:to>
      <xdr:col>7</xdr:col>
      <xdr:colOff>1453935</xdr:colOff>
      <xdr:row>108</xdr:row>
      <xdr:rowOff>993560</xdr:rowOff>
    </xdr:to>
    <xdr:pic>
      <xdr:nvPicPr>
        <xdr:cNvPr id="83" name="图片 8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54995" y="10927207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361950</xdr:colOff>
      <xdr:row>119</xdr:row>
      <xdr:rowOff>180975</xdr:rowOff>
    </xdr:from>
    <xdr:to>
      <xdr:col>7</xdr:col>
      <xdr:colOff>1576705</xdr:colOff>
      <xdr:row>119</xdr:row>
      <xdr:rowOff>990600</xdr:rowOff>
    </xdr:to>
    <xdr:pic>
      <xdr:nvPicPr>
        <xdr:cNvPr id="84" name="图片 83"/>
        <xdr:cNvPicPr/>
      </xdr:nvPicPr>
      <xdr:blipFill>
        <a:blip r:embed="rId13"/>
        <a:stretch>
          <a:fillRect/>
        </a:stretch>
      </xdr:blipFill>
      <xdr:spPr>
        <a:xfrm>
          <a:off x="10743565" y="120460135"/>
          <a:ext cx="121475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451550</xdr:colOff>
      <xdr:row>7</xdr:row>
      <xdr:rowOff>67375</xdr:rowOff>
    </xdr:from>
    <xdr:to>
      <xdr:col>7</xdr:col>
      <xdr:colOff>1531050</xdr:colOff>
      <xdr:row>7</xdr:row>
      <xdr:rowOff>877000</xdr:rowOff>
    </xdr:to>
    <xdr:pic>
      <xdr:nvPicPr>
        <xdr:cNvPr id="85" name="图片 8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833100" y="577088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478500</xdr:colOff>
      <xdr:row>54</xdr:row>
      <xdr:rowOff>116550</xdr:rowOff>
    </xdr:from>
    <xdr:to>
      <xdr:col>7</xdr:col>
      <xdr:colOff>1317970</xdr:colOff>
      <xdr:row>54</xdr:row>
      <xdr:rowOff>926810</xdr:rowOff>
    </xdr:to>
    <xdr:pic>
      <xdr:nvPicPr>
        <xdr:cNvPr id="86" name="图片 85"/>
        <xdr:cNvPicPr>
          <a:picLocks noChangeAspect="1"/>
        </xdr:cNvPicPr>
      </xdr:nvPicPr>
      <xdr:blipFill>
        <a:blip r:embed="rId20"/>
        <a:srcRect r="22303"/>
        <a:stretch>
          <a:fillRect/>
        </a:stretch>
      </xdr:blipFill>
      <xdr:spPr>
        <a:xfrm>
          <a:off x="10859770" y="54013735"/>
          <a:ext cx="839470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266700</xdr:colOff>
      <xdr:row>85</xdr:row>
      <xdr:rowOff>19050</xdr:rowOff>
    </xdr:from>
    <xdr:to>
      <xdr:col>7</xdr:col>
      <xdr:colOff>1562100</xdr:colOff>
      <xdr:row>85</xdr:row>
      <xdr:rowOff>990600</xdr:rowOff>
    </xdr:to>
    <xdr:pic>
      <xdr:nvPicPr>
        <xdr:cNvPr id="87" name="图片 8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48315" y="85711030"/>
          <a:ext cx="1295400" cy="971550"/>
        </a:xfrm>
        <a:prstGeom prst="rect">
          <a:avLst/>
        </a:prstGeom>
      </xdr:spPr>
    </xdr:pic>
    <xdr:clientData/>
  </xdr:twoCellAnchor>
  <xdr:twoCellAnchor editAs="oneCell">
    <xdr:from>
      <xdr:col>7</xdr:col>
      <xdr:colOff>562069</xdr:colOff>
      <xdr:row>100</xdr:row>
      <xdr:rowOff>0</xdr:rowOff>
    </xdr:from>
    <xdr:to>
      <xdr:col>7</xdr:col>
      <xdr:colOff>1344389</xdr:colOff>
      <xdr:row>101</xdr:row>
      <xdr:rowOff>34290</xdr:rowOff>
    </xdr:to>
    <xdr:pic>
      <xdr:nvPicPr>
        <xdr:cNvPr id="88" name="图片 8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943590" y="100951030"/>
          <a:ext cx="782320" cy="1051560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86</xdr:row>
      <xdr:rowOff>47625</xdr:rowOff>
    </xdr:from>
    <xdr:to>
      <xdr:col>7</xdr:col>
      <xdr:colOff>1600200</xdr:colOff>
      <xdr:row>87</xdr:row>
      <xdr:rowOff>9525</xdr:rowOff>
    </xdr:to>
    <xdr:pic>
      <xdr:nvPicPr>
        <xdr:cNvPr id="89" name="图片 8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86415" y="86756875"/>
          <a:ext cx="1295400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314325</xdr:colOff>
      <xdr:row>87</xdr:row>
      <xdr:rowOff>47625</xdr:rowOff>
    </xdr:from>
    <xdr:to>
      <xdr:col>7</xdr:col>
      <xdr:colOff>1609725</xdr:colOff>
      <xdr:row>88</xdr:row>
      <xdr:rowOff>9525</xdr:rowOff>
    </xdr:to>
    <xdr:pic>
      <xdr:nvPicPr>
        <xdr:cNvPr id="90" name="图片 8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95940" y="87774145"/>
          <a:ext cx="1295400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87</xdr:row>
      <xdr:rowOff>1000125</xdr:rowOff>
    </xdr:from>
    <xdr:to>
      <xdr:col>7</xdr:col>
      <xdr:colOff>1638300</xdr:colOff>
      <xdr:row>88</xdr:row>
      <xdr:rowOff>962025</xdr:rowOff>
    </xdr:to>
    <xdr:pic>
      <xdr:nvPicPr>
        <xdr:cNvPr id="91" name="图片 9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724515" y="88726645"/>
          <a:ext cx="1295400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581119</xdr:colOff>
      <xdr:row>100</xdr:row>
      <xdr:rowOff>57150</xdr:rowOff>
    </xdr:from>
    <xdr:to>
      <xdr:col>7</xdr:col>
      <xdr:colOff>1309464</xdr:colOff>
      <xdr:row>101</xdr:row>
      <xdr:rowOff>19050</xdr:rowOff>
    </xdr:to>
    <xdr:pic>
      <xdr:nvPicPr>
        <xdr:cNvPr id="92" name="图片 9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962640" y="101008180"/>
          <a:ext cx="728345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547687</xdr:colOff>
      <xdr:row>43</xdr:row>
      <xdr:rowOff>4763</xdr:rowOff>
    </xdr:from>
    <xdr:to>
      <xdr:col>7</xdr:col>
      <xdr:colOff>1357947</xdr:colOff>
      <xdr:row>44</xdr:row>
      <xdr:rowOff>76518</xdr:rowOff>
    </xdr:to>
    <xdr:pic>
      <xdr:nvPicPr>
        <xdr:cNvPr id="96" name="图片 9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928985" y="42712005"/>
          <a:ext cx="810260" cy="1089025"/>
        </a:xfrm>
        <a:prstGeom prst="rect">
          <a:avLst/>
        </a:prstGeom>
      </xdr:spPr>
    </xdr:pic>
    <xdr:clientData/>
  </xdr:twoCellAnchor>
  <xdr:twoCellAnchor editAs="oneCell">
    <xdr:from>
      <xdr:col>7</xdr:col>
      <xdr:colOff>388937</xdr:colOff>
      <xdr:row>44</xdr:row>
      <xdr:rowOff>7937</xdr:rowOff>
    </xdr:from>
    <xdr:to>
      <xdr:col>7</xdr:col>
      <xdr:colOff>1199197</xdr:colOff>
      <xdr:row>45</xdr:row>
      <xdr:rowOff>79692</xdr:rowOff>
    </xdr:to>
    <xdr:pic>
      <xdr:nvPicPr>
        <xdr:cNvPr id="97" name="图片 9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0770235" y="43732450"/>
          <a:ext cx="810260" cy="1089025"/>
        </a:xfrm>
        <a:prstGeom prst="rect">
          <a:avLst/>
        </a:prstGeom>
      </xdr:spPr>
    </xdr:pic>
    <xdr:clientData/>
  </xdr:twoCellAnchor>
  <xdr:twoCellAnchor editAs="oneCell">
    <xdr:from>
      <xdr:col>7</xdr:col>
      <xdr:colOff>777240</xdr:colOff>
      <xdr:row>10</xdr:row>
      <xdr:rowOff>204470</xdr:rowOff>
    </xdr:from>
    <xdr:to>
      <xdr:col>7</xdr:col>
      <xdr:colOff>1301750</xdr:colOff>
      <xdr:row>10</xdr:row>
      <xdr:rowOff>901700</xdr:rowOff>
    </xdr:to>
    <xdr:pic>
      <xdr:nvPicPr>
        <xdr:cNvPr id="98" name="图片 9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1158855" y="8685530"/>
          <a:ext cx="524510" cy="697230"/>
        </a:xfrm>
        <a:prstGeom prst="rect">
          <a:avLst/>
        </a:prstGeom>
      </xdr:spPr>
    </xdr:pic>
    <xdr:clientData/>
  </xdr:twoCellAnchor>
  <xdr:twoCellAnchor editAs="oneCell">
    <xdr:from>
      <xdr:col>7</xdr:col>
      <xdr:colOff>654751</xdr:colOff>
      <xdr:row>48</xdr:row>
      <xdr:rowOff>24511</xdr:rowOff>
    </xdr:from>
    <xdr:to>
      <xdr:col>7</xdr:col>
      <xdr:colOff>1464376</xdr:colOff>
      <xdr:row>49</xdr:row>
      <xdr:rowOff>96266</xdr:rowOff>
    </xdr:to>
    <xdr:pic>
      <xdr:nvPicPr>
        <xdr:cNvPr id="99" name="图片 9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1036300" y="47818040"/>
          <a:ext cx="809625" cy="1089025"/>
        </a:xfrm>
        <a:prstGeom prst="rect">
          <a:avLst/>
        </a:prstGeom>
      </xdr:spPr>
    </xdr:pic>
    <xdr:clientData/>
  </xdr:twoCellAnchor>
  <xdr:twoCellAnchor editAs="oneCell">
    <xdr:from>
      <xdr:col>7</xdr:col>
      <xdr:colOff>492760</xdr:colOff>
      <xdr:row>45</xdr:row>
      <xdr:rowOff>39370</xdr:rowOff>
    </xdr:from>
    <xdr:to>
      <xdr:col>7</xdr:col>
      <xdr:colOff>1301115</xdr:colOff>
      <xdr:row>46</xdr:row>
      <xdr:rowOff>120650</xdr:rowOff>
    </xdr:to>
    <xdr:pic>
      <xdr:nvPicPr>
        <xdr:cNvPr id="100" name="图片 99" descr="C:\Users\Administrator\Documents\WXWork\1688850118116630\Cache\Image\2025-02\a60e275bd06e153baa6a42f8510daeda_compress.jpg"/>
        <xdr:cNvPicPr>
          <a:picLocks noChangeAspect="1" noChangeArrowheads="1"/>
        </xdr:cNvPicPr>
      </xdr:nvPicPr>
      <xdr:blipFill>
        <a:blip r:embed="rId50"/>
        <a:srcRect/>
        <a:stretch>
          <a:fillRect/>
        </a:stretch>
      </xdr:blipFill>
      <xdr:spPr>
        <a:xfrm>
          <a:off x="10874375" y="44781470"/>
          <a:ext cx="808355" cy="1098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674687</xdr:colOff>
      <xdr:row>45</xdr:row>
      <xdr:rowOff>992188</xdr:rowOff>
    </xdr:from>
    <xdr:to>
      <xdr:col>7</xdr:col>
      <xdr:colOff>1483042</xdr:colOff>
      <xdr:row>47</xdr:row>
      <xdr:rowOff>56198</xdr:rowOff>
    </xdr:to>
    <xdr:pic>
      <xdr:nvPicPr>
        <xdr:cNvPr id="102" name="图片 101" descr="C:\Users\Administrator\Documents\WXWork\1688850118116630\Cache\Image\2025-02\511c56ad54ec515e4de3b10e99d5d0e1_compress.jpg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11055985" y="45733970"/>
          <a:ext cx="808355" cy="1098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595312</xdr:colOff>
      <xdr:row>101</xdr:row>
      <xdr:rowOff>207150</xdr:rowOff>
    </xdr:from>
    <xdr:to>
      <xdr:col>7</xdr:col>
      <xdr:colOff>1309687</xdr:colOff>
      <xdr:row>102</xdr:row>
      <xdr:rowOff>7125</xdr:rowOff>
    </xdr:to>
    <xdr:pic>
      <xdr:nvPicPr>
        <xdr:cNvPr id="108" name="图片 107"/>
        <xdr:cNvPicPr>
          <a:picLocks noChangeAspect="1"/>
        </xdr:cNvPicPr>
      </xdr:nvPicPr>
      <xdr:blipFill>
        <a:blip r:embed="rId4"/>
        <a:srcRect l="13010" r="20843"/>
        <a:stretch>
          <a:fillRect/>
        </a:stretch>
      </xdr:blipFill>
      <xdr:spPr>
        <a:xfrm>
          <a:off x="10976610" y="102175310"/>
          <a:ext cx="714375" cy="817245"/>
        </a:xfrm>
        <a:prstGeom prst="rect">
          <a:avLst/>
        </a:prstGeom>
      </xdr:spPr>
    </xdr:pic>
    <xdr:clientData/>
  </xdr:twoCellAnchor>
  <xdr:twoCellAnchor editAs="oneCell">
    <xdr:from>
      <xdr:col>7</xdr:col>
      <xdr:colOff>480975</xdr:colOff>
      <xdr:row>107</xdr:row>
      <xdr:rowOff>157125</xdr:rowOff>
    </xdr:from>
    <xdr:to>
      <xdr:col>7</xdr:col>
      <xdr:colOff>1561110</xdr:colOff>
      <xdr:row>107</xdr:row>
      <xdr:rowOff>967385</xdr:rowOff>
    </xdr:to>
    <xdr:pic>
      <xdr:nvPicPr>
        <xdr:cNvPr id="109" name="图片 10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62310" y="108228765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373800</xdr:colOff>
      <xdr:row>112</xdr:row>
      <xdr:rowOff>183300</xdr:rowOff>
    </xdr:from>
    <xdr:to>
      <xdr:col>7</xdr:col>
      <xdr:colOff>1453935</xdr:colOff>
      <xdr:row>112</xdr:row>
      <xdr:rowOff>993560</xdr:rowOff>
    </xdr:to>
    <xdr:pic>
      <xdr:nvPicPr>
        <xdr:cNvPr id="110" name="图片 10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54995" y="11334115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466650</xdr:colOff>
      <xdr:row>117</xdr:row>
      <xdr:rowOff>180900</xdr:rowOff>
    </xdr:from>
    <xdr:to>
      <xdr:col>7</xdr:col>
      <xdr:colOff>1546785</xdr:colOff>
      <xdr:row>117</xdr:row>
      <xdr:rowOff>991160</xdr:rowOff>
    </xdr:to>
    <xdr:pic>
      <xdr:nvPicPr>
        <xdr:cNvPr id="111" name="图片 1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47705" y="118424960"/>
          <a:ext cx="1080135" cy="810260"/>
        </a:xfrm>
        <a:prstGeom prst="rect">
          <a:avLst/>
        </a:prstGeom>
      </xdr:spPr>
    </xdr:pic>
    <xdr:clientData/>
  </xdr:twoCellAnchor>
  <xdr:twoCellAnchor editAs="oneCell">
    <xdr:from>
      <xdr:col>7</xdr:col>
      <xdr:colOff>343600</xdr:colOff>
      <xdr:row>8</xdr:row>
      <xdr:rowOff>105475</xdr:rowOff>
    </xdr:from>
    <xdr:to>
      <xdr:col>7</xdr:col>
      <xdr:colOff>1423100</xdr:colOff>
      <xdr:row>8</xdr:row>
      <xdr:rowOff>915100</xdr:rowOff>
    </xdr:to>
    <xdr:pic>
      <xdr:nvPicPr>
        <xdr:cNvPr id="113" name="图片 1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725150" y="6826250"/>
          <a:ext cx="107950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685800</xdr:colOff>
      <xdr:row>140</xdr:row>
      <xdr:rowOff>998220</xdr:rowOff>
    </xdr:from>
    <xdr:to>
      <xdr:col>7</xdr:col>
      <xdr:colOff>1468120</xdr:colOff>
      <xdr:row>142</xdr:row>
      <xdr:rowOff>15240</xdr:rowOff>
    </xdr:to>
    <xdr:pic>
      <xdr:nvPicPr>
        <xdr:cNvPr id="114" name="图片 11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067415" y="142640050"/>
          <a:ext cx="782320" cy="1051560"/>
        </a:xfrm>
        <a:prstGeom prst="rect">
          <a:avLst/>
        </a:prstGeom>
      </xdr:spPr>
    </xdr:pic>
    <xdr:clientData/>
  </xdr:twoCellAnchor>
  <xdr:twoCellAnchor editAs="oneCell">
    <xdr:from>
      <xdr:col>7</xdr:col>
      <xdr:colOff>23812</xdr:colOff>
      <xdr:row>143</xdr:row>
      <xdr:rowOff>76199</xdr:rowOff>
    </xdr:from>
    <xdr:to>
      <xdr:col>8</xdr:col>
      <xdr:colOff>317</xdr:colOff>
      <xdr:row>143</xdr:row>
      <xdr:rowOff>963929</xdr:rowOff>
    </xdr:to>
    <xdr:pic>
      <xdr:nvPicPr>
        <xdr:cNvPr id="117" name="图片 11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405110" y="144769205"/>
          <a:ext cx="1788160" cy="887730"/>
        </a:xfrm>
        <a:prstGeom prst="rect">
          <a:avLst/>
        </a:prstGeom>
      </xdr:spPr>
    </xdr:pic>
    <xdr:clientData/>
  </xdr:twoCellAnchor>
  <xdr:twoCellAnchor editAs="oneCell">
    <xdr:from>
      <xdr:col>7</xdr:col>
      <xdr:colOff>623228</xdr:colOff>
      <xdr:row>60</xdr:row>
      <xdr:rowOff>69850</xdr:rowOff>
    </xdr:from>
    <xdr:to>
      <xdr:col>7</xdr:col>
      <xdr:colOff>1366178</xdr:colOff>
      <xdr:row>60</xdr:row>
      <xdr:rowOff>995680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53"/>
        <a:srcRect/>
        <a:stretch>
          <a:fillRect/>
        </a:stretch>
      </xdr:blipFill>
      <xdr:spPr>
        <a:xfrm>
          <a:off x="11004550" y="60071000"/>
          <a:ext cx="742950" cy="92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44450</xdr:colOff>
      <xdr:row>91</xdr:row>
      <xdr:rowOff>107950</xdr:rowOff>
    </xdr:from>
    <xdr:to>
      <xdr:col>7</xdr:col>
      <xdr:colOff>1657985</xdr:colOff>
      <xdr:row>91</xdr:row>
      <xdr:rowOff>942340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10426065" y="91903550"/>
          <a:ext cx="1613535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59</xdr:row>
      <xdr:rowOff>38100</xdr:rowOff>
    </xdr:from>
    <xdr:to>
      <xdr:col>7</xdr:col>
      <xdr:colOff>1372235</xdr:colOff>
      <xdr:row>60</xdr:row>
      <xdr:rowOff>26670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r:embed="rId55"/>
        <a:srcRect/>
        <a:stretch>
          <a:fillRect/>
        </a:stretch>
      </xdr:blipFill>
      <xdr:spPr>
        <a:xfrm>
          <a:off x="10857865" y="59021980"/>
          <a:ext cx="895985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469900</xdr:colOff>
      <xdr:row>55</xdr:row>
      <xdr:rowOff>86118</xdr:rowOff>
    </xdr:from>
    <xdr:to>
      <xdr:col>7</xdr:col>
      <xdr:colOff>1286510</xdr:colOff>
      <xdr:row>55</xdr:row>
      <xdr:rowOff>993533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10851515" y="55000525"/>
          <a:ext cx="816610" cy="907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397006</xdr:colOff>
      <xdr:row>58</xdr:row>
      <xdr:rowOff>6350</xdr:rowOff>
    </xdr:from>
    <xdr:to>
      <xdr:col>7</xdr:col>
      <xdr:colOff>1240286</xdr:colOff>
      <xdr:row>58</xdr:row>
      <xdr:rowOff>982345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57"/>
        <a:srcRect/>
        <a:stretch>
          <a:fillRect/>
        </a:stretch>
      </xdr:blipFill>
      <xdr:spPr>
        <a:xfrm>
          <a:off x="10778490" y="57972960"/>
          <a:ext cx="843280" cy="975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471022</xdr:colOff>
      <xdr:row>61</xdr:row>
      <xdr:rowOff>6350</xdr:rowOff>
    </xdr:from>
    <xdr:to>
      <xdr:col>7</xdr:col>
      <xdr:colOff>1349227</xdr:colOff>
      <xdr:row>61</xdr:row>
      <xdr:rowOff>968375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10852150" y="61024770"/>
          <a:ext cx="878205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196850</xdr:colOff>
      <xdr:row>124</xdr:row>
      <xdr:rowOff>102091</xdr:rowOff>
    </xdr:from>
    <xdr:to>
      <xdr:col>7</xdr:col>
      <xdr:colOff>1610995</xdr:colOff>
      <xdr:row>124</xdr:row>
      <xdr:rowOff>985376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10578465" y="125467110"/>
          <a:ext cx="1414145" cy="883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450850</xdr:colOff>
      <xdr:row>57</xdr:row>
      <xdr:rowOff>31750</xdr:rowOff>
    </xdr:from>
    <xdr:to>
      <xdr:col>7</xdr:col>
      <xdr:colOff>1294130</xdr:colOff>
      <xdr:row>57</xdr:row>
      <xdr:rowOff>1007745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57"/>
        <a:srcRect/>
        <a:stretch>
          <a:fillRect/>
        </a:stretch>
      </xdr:blipFill>
      <xdr:spPr>
        <a:xfrm>
          <a:off x="10832465" y="56981090"/>
          <a:ext cx="843280" cy="975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474320</xdr:colOff>
      <xdr:row>56</xdr:row>
      <xdr:rowOff>25400</xdr:rowOff>
    </xdr:from>
    <xdr:to>
      <xdr:col>7</xdr:col>
      <xdr:colOff>1301090</xdr:colOff>
      <xdr:row>56</xdr:row>
      <xdr:rowOff>971550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10855325" y="55957470"/>
          <a:ext cx="826770" cy="94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482599</xdr:colOff>
      <xdr:row>89</xdr:row>
      <xdr:rowOff>66792</xdr:rowOff>
    </xdr:from>
    <xdr:to>
      <xdr:col>7</xdr:col>
      <xdr:colOff>1102359</xdr:colOff>
      <xdr:row>89</xdr:row>
      <xdr:rowOff>907532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10863580" y="89827735"/>
          <a:ext cx="619760" cy="840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501650</xdr:colOff>
      <xdr:row>93</xdr:row>
      <xdr:rowOff>39960</xdr:rowOff>
    </xdr:from>
    <xdr:to>
      <xdr:col>7</xdr:col>
      <xdr:colOff>1156335</xdr:colOff>
      <xdr:row>93</xdr:row>
      <xdr:rowOff>943565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10883265" y="93869510"/>
          <a:ext cx="654685" cy="903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499440</xdr:colOff>
      <xdr:row>92</xdr:row>
      <xdr:rowOff>25400</xdr:rowOff>
    </xdr:from>
    <xdr:to>
      <xdr:col>7</xdr:col>
      <xdr:colOff>1229055</xdr:colOff>
      <xdr:row>92</xdr:row>
      <xdr:rowOff>1012190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10880725" y="92838270"/>
          <a:ext cx="729615" cy="986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437865</xdr:colOff>
      <xdr:row>90</xdr:row>
      <xdr:rowOff>76200</xdr:rowOff>
    </xdr:from>
    <xdr:to>
      <xdr:col>7</xdr:col>
      <xdr:colOff>1132555</xdr:colOff>
      <xdr:row>90</xdr:row>
      <xdr:rowOff>1000760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10819130" y="90854530"/>
          <a:ext cx="694690" cy="924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269875</xdr:colOff>
      <xdr:row>94</xdr:row>
      <xdr:rowOff>86360</xdr:rowOff>
    </xdr:from>
    <xdr:to>
      <xdr:col>7</xdr:col>
      <xdr:colOff>1390015</xdr:colOff>
      <xdr:row>94</xdr:row>
      <xdr:rowOff>922655</xdr:rowOff>
    </xdr:to>
    <xdr:pic>
      <xdr:nvPicPr>
        <xdr:cNvPr id="131" name="图片 130" descr="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flipH="1">
          <a:off x="10651490" y="94933770"/>
          <a:ext cx="1120140" cy="836295"/>
        </a:xfrm>
        <a:prstGeom prst="rect">
          <a:avLst/>
        </a:prstGeom>
      </xdr:spPr>
    </xdr:pic>
    <xdr:clientData/>
  </xdr:twoCellAnchor>
  <xdr:twoCellAnchor editAs="oneCell">
    <xdr:from>
      <xdr:col>7</xdr:col>
      <xdr:colOff>584200</xdr:colOff>
      <xdr:row>62</xdr:row>
      <xdr:rowOff>120650</xdr:rowOff>
    </xdr:from>
    <xdr:to>
      <xdr:col>7</xdr:col>
      <xdr:colOff>1207135</xdr:colOff>
      <xdr:row>62</xdr:row>
      <xdr:rowOff>938530</xdr:rowOff>
    </xdr:to>
    <xdr:pic>
      <xdr:nvPicPr>
        <xdr:cNvPr id="132" name="图片 131" descr="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965815" y="62156340"/>
          <a:ext cx="622935" cy="817880"/>
        </a:xfrm>
        <a:prstGeom prst="rect">
          <a:avLst/>
        </a:prstGeom>
      </xdr:spPr>
    </xdr:pic>
    <xdr:clientData/>
  </xdr:twoCellAnchor>
  <xdr:twoCellAnchor editAs="oneCell">
    <xdr:from>
      <xdr:col>7</xdr:col>
      <xdr:colOff>64770</xdr:colOff>
      <xdr:row>12</xdr:row>
      <xdr:rowOff>133350</xdr:rowOff>
    </xdr:from>
    <xdr:to>
      <xdr:col>7</xdr:col>
      <xdr:colOff>916940</xdr:colOff>
      <xdr:row>12</xdr:row>
      <xdr:rowOff>770890</xdr:rowOff>
    </xdr:to>
    <xdr:pic>
      <xdr:nvPicPr>
        <xdr:cNvPr id="133" name="图片 132" descr="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446385" y="10648950"/>
          <a:ext cx="852170" cy="637540"/>
        </a:xfrm>
        <a:prstGeom prst="rect">
          <a:avLst/>
        </a:prstGeom>
      </xdr:spPr>
    </xdr:pic>
    <xdr:clientData/>
  </xdr:twoCellAnchor>
  <xdr:twoCellAnchor editAs="oneCell">
    <xdr:from>
      <xdr:col>7</xdr:col>
      <xdr:colOff>975360</xdr:colOff>
      <xdr:row>12</xdr:row>
      <xdr:rowOff>96520</xdr:rowOff>
    </xdr:from>
    <xdr:to>
      <xdr:col>8</xdr:col>
      <xdr:colOff>0</xdr:colOff>
      <xdr:row>12</xdr:row>
      <xdr:rowOff>741045</xdr:rowOff>
    </xdr:to>
    <xdr:pic>
      <xdr:nvPicPr>
        <xdr:cNvPr id="134" name="图片 133" descr="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1356975" y="10612120"/>
          <a:ext cx="836295" cy="644525"/>
        </a:xfrm>
        <a:prstGeom prst="rect">
          <a:avLst/>
        </a:prstGeom>
      </xdr:spPr>
    </xdr:pic>
    <xdr:clientData/>
  </xdr:twoCellAnchor>
  <xdr:twoCellAnchor editAs="oneCell">
    <xdr:from>
      <xdr:col>7</xdr:col>
      <xdr:colOff>460375</xdr:colOff>
      <xdr:row>9</xdr:row>
      <xdr:rowOff>0</xdr:rowOff>
    </xdr:from>
    <xdr:to>
      <xdr:col>7</xdr:col>
      <xdr:colOff>1706880</xdr:colOff>
      <xdr:row>10</xdr:row>
      <xdr:rowOff>19685</xdr:rowOff>
    </xdr:to>
    <xdr:pic>
      <xdr:nvPicPr>
        <xdr:cNvPr id="135" name="图片 134" descr="D:\Download\企业微信文件\WXWork\1688850117483371\Cache\Image\2025-02\5127796afd258c45660e8f982ee02721_origin(1).jpg"/>
        <xdr:cNvPicPr>
          <a:picLocks noChangeAspect="1" noChangeArrowheads="1"/>
        </xdr:cNvPicPr>
      </xdr:nvPicPr>
      <xdr:blipFill>
        <a:blip r:embed="rId69"/>
        <a:srcRect l="4037" t="16748" r="8229" b="30175"/>
        <a:stretch>
          <a:fillRect/>
        </a:stretch>
      </xdr:blipFill>
      <xdr:spPr>
        <a:xfrm>
          <a:off x="10841990" y="7738110"/>
          <a:ext cx="1246505" cy="762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555625</xdr:colOff>
      <xdr:row>127</xdr:row>
      <xdr:rowOff>0</xdr:rowOff>
    </xdr:from>
    <xdr:to>
      <xdr:col>7</xdr:col>
      <xdr:colOff>1350010</xdr:colOff>
      <xdr:row>128</xdr:row>
      <xdr:rowOff>57785</xdr:rowOff>
    </xdr:to>
    <xdr:pic>
      <xdr:nvPicPr>
        <xdr:cNvPr id="136" name="图片 135"/>
        <xdr:cNvPicPr>
          <a:picLocks noChangeAspect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37240" y="128417320"/>
          <a:ext cx="794385" cy="10750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2540</xdr:colOff>
          <xdr:row>39</xdr:row>
          <xdr:rowOff>1181735</xdr:rowOff>
        </xdr:from>
        <xdr:to>
          <xdr:col>8</xdr:col>
          <xdr:colOff>1118235</xdr:colOff>
          <xdr:row>41</xdr:row>
          <xdr:rowOff>217805</xdr:rowOff>
        </xdr:to>
        <xdr:sp>
          <xdr:nvSpPr>
            <xdr:cNvPr id="7169" name="Object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1798935" y="28660090"/>
              <a:ext cx="1115695" cy="144907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1495425</xdr:colOff>
      <xdr:row>8</xdr:row>
      <xdr:rowOff>66675</xdr:rowOff>
    </xdr:from>
    <xdr:to>
      <xdr:col>8</xdr:col>
      <xdr:colOff>28575</xdr:colOff>
      <xdr:row>8</xdr:row>
      <xdr:rowOff>951865</xdr:rowOff>
    </xdr:to>
    <xdr:pic>
      <xdr:nvPicPr>
        <xdr:cNvPr id="13" name="图片 12"/>
        <xdr:cNvPicPr>
          <a:picLocks noChangeAspect="1"/>
        </xdr:cNvPicPr>
      </xdr:nvPicPr>
      <xdr:blipFill>
        <a:blip r:embed="rId1"/>
        <a:srcRect l="18686" t="12879" r="18308"/>
        <a:stretch>
          <a:fillRect/>
        </a:stretch>
      </xdr:blipFill>
      <xdr:spPr>
        <a:xfrm>
          <a:off x="11291570" y="7084695"/>
          <a:ext cx="461645" cy="8851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1.xml.rels><?xml version="1.0" encoding="UTF-8" standalone="yes"?>
<Relationships xmlns="http://schemas.openxmlformats.org/package/2006/relationships"><Relationship Id="rId4" Type="http://schemas.openxmlformats.org/officeDocument/2006/relationships/image" Target="../media/image86.wmf"/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4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8"/>
  <sheetViews>
    <sheetView workbookViewId="0">
      <selection activeCell="M9" sqref="M9"/>
    </sheetView>
  </sheetViews>
  <sheetFormatPr defaultColWidth="9" defaultRowHeight="17.6" outlineLevelCol="5"/>
  <cols>
    <col min="1" max="1" width="9" style="146"/>
    <col min="2" max="2" width="33.5132743362832" style="146" customWidth="1"/>
    <col min="3" max="3" width="12.7522123893805" style="146" customWidth="1"/>
    <col min="4" max="5" width="12.2477876106195" style="146" customWidth="1"/>
    <col min="6" max="16384" width="9" style="146"/>
  </cols>
  <sheetData>
    <row r="1" s="146" customFormat="1" ht="28" customHeight="1" spans="1:6">
      <c r="A1" s="148" t="s">
        <v>0</v>
      </c>
      <c r="B1" s="148"/>
      <c r="C1" s="148"/>
      <c r="D1" s="148"/>
      <c r="E1" s="148"/>
      <c r="F1" s="148"/>
    </row>
    <row r="2" s="146" customFormat="1" spans="1:6">
      <c r="A2" s="149" t="s">
        <v>1</v>
      </c>
      <c r="B2" s="149" t="s">
        <v>2</v>
      </c>
      <c r="C2" s="149" t="s">
        <v>3</v>
      </c>
      <c r="D2" s="149" t="s">
        <v>4</v>
      </c>
      <c r="E2" s="149" t="s">
        <v>5</v>
      </c>
      <c r="F2" s="150" t="s">
        <v>6</v>
      </c>
    </row>
    <row r="3" s="146" customFormat="1" spans="1:6">
      <c r="A3" s="151">
        <v>1</v>
      </c>
      <c r="B3" s="151" t="s">
        <v>7</v>
      </c>
      <c r="C3" s="151">
        <v>420</v>
      </c>
      <c r="D3" s="151"/>
      <c r="E3" s="152"/>
      <c r="F3" s="153" t="s">
        <v>8</v>
      </c>
    </row>
    <row r="4" s="146" customFormat="1" spans="1:6">
      <c r="A4" s="151">
        <v>2</v>
      </c>
      <c r="B4" s="151" t="s">
        <v>9</v>
      </c>
      <c r="C4" s="28">
        <v>281</v>
      </c>
      <c r="D4" s="28"/>
      <c r="E4" s="154"/>
      <c r="F4" s="153"/>
    </row>
    <row r="5" s="146" customFormat="1" spans="1:6">
      <c r="A5" s="151">
        <v>3</v>
      </c>
      <c r="B5" s="151" t="s">
        <v>10</v>
      </c>
      <c r="C5" s="28">
        <v>108</v>
      </c>
      <c r="D5" s="28"/>
      <c r="E5" s="154"/>
      <c r="F5" s="153"/>
    </row>
    <row r="6" s="146" customFormat="1" spans="1:6">
      <c r="A6" s="151">
        <v>4</v>
      </c>
      <c r="B6" s="28" t="s">
        <v>11</v>
      </c>
      <c r="C6" s="28">
        <v>8</v>
      </c>
      <c r="D6" s="28"/>
      <c r="E6" s="154"/>
      <c r="F6" s="153"/>
    </row>
    <row r="7" s="147" customFormat="1" spans="1:6">
      <c r="A7" s="151">
        <v>5</v>
      </c>
      <c r="B7" s="28" t="s">
        <v>12</v>
      </c>
      <c r="C7" s="28">
        <v>217</v>
      </c>
      <c r="D7" s="28"/>
      <c r="E7" s="154"/>
      <c r="F7" s="153"/>
    </row>
    <row r="8" s="146" customFormat="1" spans="1:6">
      <c r="A8" s="151">
        <v>6</v>
      </c>
      <c r="B8" s="28" t="s">
        <v>13</v>
      </c>
      <c r="C8" s="28">
        <v>145</v>
      </c>
      <c r="D8" s="28"/>
      <c r="E8" s="154"/>
      <c r="F8" s="153"/>
    </row>
    <row r="9" s="147" customFormat="1" spans="1:6">
      <c r="A9" s="151">
        <v>7</v>
      </c>
      <c r="B9" s="28" t="s">
        <v>14</v>
      </c>
      <c r="C9" s="28">
        <v>487</v>
      </c>
      <c r="D9" s="28"/>
      <c r="E9" s="154"/>
      <c r="F9" s="153"/>
    </row>
    <row r="10" spans="1:6">
      <c r="A10" s="151">
        <v>8</v>
      </c>
      <c r="B10" s="151" t="s">
        <v>15</v>
      </c>
      <c r="C10" s="151">
        <v>26</v>
      </c>
      <c r="D10" s="151"/>
      <c r="E10" s="154"/>
      <c r="F10" s="153"/>
    </row>
    <row r="11" spans="1:6">
      <c r="A11" s="151">
        <v>9</v>
      </c>
      <c r="B11" s="151" t="s">
        <v>16</v>
      </c>
      <c r="C11" s="151">
        <v>866</v>
      </c>
      <c r="D11" s="151"/>
      <c r="E11" s="154"/>
      <c r="F11" s="153"/>
    </row>
    <row r="12" spans="1:6">
      <c r="A12" s="151">
        <v>10</v>
      </c>
      <c r="B12" s="151" t="s">
        <v>17</v>
      </c>
      <c r="C12" s="151">
        <v>303</v>
      </c>
      <c r="D12" s="151"/>
      <c r="E12" s="154"/>
      <c r="F12" s="153"/>
    </row>
    <row r="13" spans="1:6">
      <c r="A13" s="151">
        <v>11</v>
      </c>
      <c r="B13" s="151" t="s">
        <v>18</v>
      </c>
      <c r="C13" s="151">
        <v>3</v>
      </c>
      <c r="D13" s="151"/>
      <c r="E13" s="154"/>
      <c r="F13" s="153"/>
    </row>
    <row r="14" spans="1:6">
      <c r="A14" s="151">
        <v>12</v>
      </c>
      <c r="B14" s="151" t="s">
        <v>19</v>
      </c>
      <c r="C14" s="151">
        <v>83</v>
      </c>
      <c r="D14" s="151"/>
      <c r="E14" s="154"/>
      <c r="F14" s="153"/>
    </row>
    <row r="15" spans="1:6">
      <c r="A15" s="151">
        <v>13</v>
      </c>
      <c r="B15" s="151" t="s">
        <v>20</v>
      </c>
      <c r="C15" s="151">
        <v>154</v>
      </c>
      <c r="D15" s="151"/>
      <c r="E15" s="154"/>
      <c r="F15" s="153"/>
    </row>
    <row r="16" spans="1:6">
      <c r="A16" s="151">
        <v>14</v>
      </c>
      <c r="B16" s="151" t="s">
        <v>21</v>
      </c>
      <c r="C16" s="151">
        <v>151</v>
      </c>
      <c r="D16" s="151"/>
      <c r="E16" s="154"/>
      <c r="F16" s="153"/>
    </row>
    <row r="17" spans="1:6">
      <c r="A17" s="151">
        <v>15</v>
      </c>
      <c r="B17" s="151" t="s">
        <v>22</v>
      </c>
      <c r="C17" s="151">
        <v>184</v>
      </c>
      <c r="D17" s="151"/>
      <c r="E17" s="154"/>
      <c r="F17" s="153"/>
    </row>
    <row r="18" spans="1:6">
      <c r="A18" s="151">
        <v>16</v>
      </c>
      <c r="B18" s="151" t="s">
        <v>23</v>
      </c>
      <c r="C18" s="151">
        <v>86</v>
      </c>
      <c r="D18" s="151"/>
      <c r="E18" s="155"/>
      <c r="F18" s="153"/>
    </row>
  </sheetData>
  <mergeCells count="3">
    <mergeCell ref="A1:F1"/>
    <mergeCell ref="E3:E18"/>
    <mergeCell ref="F3:F18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2"/>
  <sheetViews>
    <sheetView zoomScale="40" zoomScaleNormal="40" topLeftCell="A15" workbookViewId="0">
      <selection activeCell="G27" sqref="G27"/>
    </sheetView>
  </sheetViews>
  <sheetFormatPr defaultColWidth="9" defaultRowHeight="17.6"/>
  <cols>
    <col min="1" max="1" width="12.8849557522124" style="21" customWidth="1"/>
    <col min="2" max="2" width="23.6637168141593" style="21" customWidth="1"/>
    <col min="3" max="3" width="9.86725663716814" style="21" customWidth="1"/>
    <col min="4" max="4" width="22.3451327433628" style="23" customWidth="1"/>
    <col min="5" max="5" width="12.3362831858407" style="23" customWidth="1"/>
    <col min="6" max="6" width="13.5752212389381" style="23" customWidth="1"/>
    <col min="7" max="7" width="13.8141592920354" style="23" customWidth="1"/>
    <col min="8" max="8" width="41.7787610619469" style="21" customWidth="1"/>
    <col min="9" max="9" width="16.3805309734513" style="23" customWidth="1"/>
    <col min="10" max="16384" width="9" style="21"/>
  </cols>
  <sheetData>
    <row r="1" ht="31" customHeight="1" spans="1:9">
      <c r="A1" s="145" t="s">
        <v>24</v>
      </c>
      <c r="B1" s="25"/>
      <c r="C1" s="25"/>
      <c r="D1" s="25"/>
      <c r="E1" s="25"/>
      <c r="F1" s="25"/>
      <c r="G1" s="25"/>
      <c r="H1" s="25"/>
      <c r="I1" s="25"/>
    </row>
    <row r="2" ht="17.65" spans="1:9">
      <c r="A2" s="26" t="s">
        <v>1</v>
      </c>
      <c r="B2" s="26" t="s">
        <v>25</v>
      </c>
      <c r="C2" s="26" t="s">
        <v>3</v>
      </c>
      <c r="D2" s="40" t="s">
        <v>26</v>
      </c>
      <c r="E2" s="40" t="s">
        <v>27</v>
      </c>
      <c r="F2" s="40" t="s">
        <v>28</v>
      </c>
      <c r="G2" s="40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27" t="s">
        <v>32</v>
      </c>
      <c r="C3" s="27">
        <v>54</v>
      </c>
      <c r="D3" s="63" t="s">
        <v>33</v>
      </c>
      <c r="E3" s="63" t="s">
        <v>34</v>
      </c>
      <c r="F3" s="63"/>
      <c r="G3" s="63"/>
      <c r="H3" s="30" t="str">
        <f>_xlfn.DISPIMG("ID_B13A346C73EB43C5B24C9685042D4DE6",1)</f>
        <v>=DISPIMG("ID_B13A346C73EB43C5B24C9685042D4DE6",1)</v>
      </c>
      <c r="I3" s="41" t="s">
        <v>35</v>
      </c>
    </row>
    <row r="4" s="21" customFormat="1" ht="84" customHeight="1" spans="1:9">
      <c r="A4" s="27">
        <v>2</v>
      </c>
      <c r="B4" s="27" t="s">
        <v>36</v>
      </c>
      <c r="C4" s="27">
        <v>20</v>
      </c>
      <c r="D4" s="63" t="s">
        <v>37</v>
      </c>
      <c r="E4" s="63" t="s">
        <v>38</v>
      </c>
      <c r="F4" s="63"/>
      <c r="G4" s="63"/>
      <c r="H4" s="30" t="str">
        <f>_xlfn.DISPIMG("ID_A86B4E499E354E37B5BBC6762183E3C3",1)</f>
        <v>=DISPIMG("ID_A86B4E499E354E37B5BBC6762183E3C3",1)</v>
      </c>
      <c r="I4" s="41" t="s">
        <v>39</v>
      </c>
    </row>
    <row r="5" s="21" customFormat="1" ht="84" customHeight="1" spans="1:9">
      <c r="A5" s="27">
        <v>3</v>
      </c>
      <c r="B5" s="27" t="s">
        <v>40</v>
      </c>
      <c r="C5" s="27">
        <v>1</v>
      </c>
      <c r="D5" s="63"/>
      <c r="E5" s="63" t="s">
        <v>41</v>
      </c>
      <c r="F5" s="63"/>
      <c r="G5" s="63"/>
      <c r="H5" s="27" t="str">
        <f>_xlfn.DISPIMG("ID_2F5EE259F4F440ED8CA34527A461A671",1)</f>
        <v>=DISPIMG("ID_2F5EE259F4F440ED8CA34527A461A671",1)</v>
      </c>
      <c r="I5" s="41" t="s">
        <v>42</v>
      </c>
    </row>
    <row r="6" s="21" customFormat="1" ht="84" customHeight="1" spans="1:9">
      <c r="A6" s="27">
        <v>4</v>
      </c>
      <c r="B6" s="27" t="s">
        <v>43</v>
      </c>
      <c r="C6" s="27">
        <v>1</v>
      </c>
      <c r="D6" s="63" t="s">
        <v>44</v>
      </c>
      <c r="E6" s="63" t="s">
        <v>45</v>
      </c>
      <c r="F6" s="63"/>
      <c r="G6" s="63"/>
      <c r="H6" s="26" t="str">
        <f>_xlfn.DISPIMG("ID_94A5C177038547508527261C90DA10A0",1)</f>
        <v>=DISPIMG("ID_94A5C177038547508527261C90DA10A0",1)</v>
      </c>
      <c r="I6" s="41" t="s">
        <v>42</v>
      </c>
    </row>
    <row r="7" s="21" customFormat="1" ht="84" customHeight="1" spans="1:9">
      <c r="A7" s="27">
        <v>5</v>
      </c>
      <c r="B7" s="27" t="s">
        <v>46</v>
      </c>
      <c r="C7" s="27">
        <v>1</v>
      </c>
      <c r="D7" s="63" t="s">
        <v>47</v>
      </c>
      <c r="E7" s="63" t="s">
        <v>48</v>
      </c>
      <c r="F7" s="63"/>
      <c r="G7" s="63"/>
      <c r="H7" s="27" t="str">
        <f>_xlfn.DISPIMG("ID_0E78DCABC09A4F15BC2B386C320D2684",1)</f>
        <v>=DISPIMG("ID_0E78DCABC09A4F15BC2B386C320D2684",1)</v>
      </c>
      <c r="I7" s="41" t="s">
        <v>49</v>
      </c>
    </row>
    <row r="8" s="21" customFormat="1" ht="84" customHeight="1" spans="1:9">
      <c r="A8" s="27">
        <v>6</v>
      </c>
      <c r="B8" s="27" t="s">
        <v>50</v>
      </c>
      <c r="C8" s="27">
        <v>9</v>
      </c>
      <c r="D8" s="63" t="s">
        <v>51</v>
      </c>
      <c r="E8" s="63" t="s">
        <v>48</v>
      </c>
      <c r="F8" s="63"/>
      <c r="G8" s="63"/>
      <c r="H8" s="27" t="str">
        <f>_xlfn.DISPIMG("ID_039C9BDA0EF3404F8C57462EE46F81BC",1)</f>
        <v>=DISPIMG("ID_039C9BDA0EF3404F8C57462EE46F81BC",1)</v>
      </c>
      <c r="I8" s="41" t="s">
        <v>35</v>
      </c>
    </row>
    <row r="9" s="21" customFormat="1" ht="84" customHeight="1" spans="1:9">
      <c r="A9" s="27">
        <v>7</v>
      </c>
      <c r="B9" s="27" t="s">
        <v>52</v>
      </c>
      <c r="C9" s="27">
        <v>1</v>
      </c>
      <c r="D9" s="63" t="s">
        <v>53</v>
      </c>
      <c r="E9" s="63" t="s">
        <v>41</v>
      </c>
      <c r="F9" s="63"/>
      <c r="G9" s="63"/>
      <c r="H9" s="27" t="str">
        <f>_xlfn.DISPIMG("ID_FA71FD8FE0E74495952C485E1038629D",1)</f>
        <v>=DISPIMG("ID_FA71FD8FE0E74495952C485E1038629D",1)</v>
      </c>
      <c r="I9" s="41" t="s">
        <v>54</v>
      </c>
    </row>
    <row r="10" s="21" customFormat="1" ht="84" customHeight="1" spans="1:9">
      <c r="A10" s="27">
        <v>8</v>
      </c>
      <c r="B10" s="27" t="s">
        <v>55</v>
      </c>
      <c r="C10" s="27">
        <v>13</v>
      </c>
      <c r="D10" s="63" t="s">
        <v>56</v>
      </c>
      <c r="E10" s="63" t="s">
        <v>57</v>
      </c>
      <c r="F10" s="63"/>
      <c r="G10" s="63"/>
      <c r="H10" s="27" t="str">
        <f>_xlfn.DISPIMG("ID_91A7D512D6F1456D92AA3F126C7197CA",1)</f>
        <v>=DISPIMG("ID_91A7D512D6F1456D92AA3F126C7197CA",1)</v>
      </c>
      <c r="I10" s="41" t="s">
        <v>58</v>
      </c>
    </row>
    <row r="11" s="21" customFormat="1" ht="84" customHeight="1" spans="1:9">
      <c r="A11" s="27">
        <v>9</v>
      </c>
      <c r="B11" s="27" t="s">
        <v>59</v>
      </c>
      <c r="C11" s="27">
        <v>20</v>
      </c>
      <c r="D11" s="63" t="s">
        <v>60</v>
      </c>
      <c r="E11" s="63" t="s">
        <v>34</v>
      </c>
      <c r="F11" s="63"/>
      <c r="G11" s="63"/>
      <c r="H11" s="30" t="str">
        <f>_xlfn.DISPIMG("ID_A321C4D2BC2D4F18B09D58F673002002",1)</f>
        <v>=DISPIMG("ID_A321C4D2BC2D4F18B09D58F673002002",1)</v>
      </c>
      <c r="I11" s="41" t="s">
        <v>61</v>
      </c>
    </row>
    <row r="12" s="21" customFormat="1" ht="84" customHeight="1" spans="1:9">
      <c r="A12" s="27">
        <v>10</v>
      </c>
      <c r="B12" s="27" t="s">
        <v>62</v>
      </c>
      <c r="C12" s="27">
        <v>4</v>
      </c>
      <c r="D12" s="63" t="s">
        <v>63</v>
      </c>
      <c r="E12" s="63" t="s">
        <v>64</v>
      </c>
      <c r="F12" s="63"/>
      <c r="G12" s="63"/>
      <c r="H12" s="30" t="str">
        <f>_xlfn.DISPIMG("ID_E2F32391023F41EEA8771CB301CF7EBD",1)</f>
        <v>=DISPIMG("ID_E2F32391023F41EEA8771CB301CF7EBD",1)</v>
      </c>
      <c r="I12" s="41" t="s">
        <v>65</v>
      </c>
    </row>
    <row r="13" s="21" customFormat="1" ht="84" customHeight="1" spans="1:9">
      <c r="A13" s="27">
        <v>11</v>
      </c>
      <c r="B13" s="27" t="s">
        <v>66</v>
      </c>
      <c r="C13" s="27">
        <v>14</v>
      </c>
      <c r="D13" s="63" t="s">
        <v>67</v>
      </c>
      <c r="E13" s="63" t="s">
        <v>68</v>
      </c>
      <c r="F13" s="63"/>
      <c r="G13" s="63"/>
      <c r="H13" s="30" t="str">
        <f>_xlfn.DISPIMG("ID_8DE9FEAE87284C0AAA2C34378A72D3C8",1)</f>
        <v>=DISPIMG("ID_8DE9FEAE87284C0AAA2C34378A72D3C8",1)</v>
      </c>
      <c r="I13" s="41" t="s">
        <v>69</v>
      </c>
    </row>
    <row r="14" s="21" customFormat="1" ht="84" customHeight="1" spans="1:9">
      <c r="A14" s="27">
        <v>12</v>
      </c>
      <c r="B14" s="27" t="s">
        <v>66</v>
      </c>
      <c r="C14" s="27">
        <v>14</v>
      </c>
      <c r="D14" s="63" t="s">
        <v>67</v>
      </c>
      <c r="E14" s="63" t="s">
        <v>68</v>
      </c>
      <c r="F14" s="63"/>
      <c r="G14" s="63"/>
      <c r="H14" s="30" t="str">
        <f>_xlfn.DISPIMG("ID_51A340CCF91C4D09996AE99926E18773",1)</f>
        <v>=DISPIMG("ID_51A340CCF91C4D09996AE99926E18773",1)</v>
      </c>
      <c r="I14" s="41" t="s">
        <v>69</v>
      </c>
    </row>
    <row r="15" s="21" customFormat="1" ht="84" customHeight="1" spans="1:9">
      <c r="A15" s="27">
        <v>13</v>
      </c>
      <c r="B15" s="27" t="s">
        <v>70</v>
      </c>
      <c r="C15" s="27">
        <v>4</v>
      </c>
      <c r="D15" s="63" t="s">
        <v>71</v>
      </c>
      <c r="E15" s="63" t="s">
        <v>72</v>
      </c>
      <c r="F15" s="63"/>
      <c r="G15" s="63"/>
      <c r="H15" s="30" t="str">
        <f>_xlfn.DISPIMG("ID_75180B4687934A7B8F5E83D9B4600491",1)</f>
        <v>=DISPIMG("ID_75180B4687934A7B8F5E83D9B4600491",1)</v>
      </c>
      <c r="I15" s="41" t="s">
        <v>73</v>
      </c>
    </row>
    <row r="16" s="21" customFormat="1" ht="84" customHeight="1" spans="1:9">
      <c r="A16" s="27">
        <v>14</v>
      </c>
      <c r="B16" s="27" t="s">
        <v>74</v>
      </c>
      <c r="C16" s="27">
        <v>5</v>
      </c>
      <c r="D16" s="63" t="s">
        <v>75</v>
      </c>
      <c r="E16" s="63" t="s">
        <v>72</v>
      </c>
      <c r="F16" s="63"/>
      <c r="G16" s="63"/>
      <c r="H16" s="30" t="str">
        <f>_xlfn.DISPIMG("ID_854B3740FB2442448A762658747EDED8",1)</f>
        <v>=DISPIMG("ID_854B3740FB2442448A762658747EDED8",1)</v>
      </c>
      <c r="I16" s="41" t="s">
        <v>76</v>
      </c>
    </row>
    <row r="17" s="21" customFormat="1" ht="84" customHeight="1" spans="1:9">
      <c r="A17" s="27">
        <v>15</v>
      </c>
      <c r="B17" s="27" t="s">
        <v>77</v>
      </c>
      <c r="C17" s="27">
        <v>8</v>
      </c>
      <c r="D17" s="63" t="s">
        <v>78</v>
      </c>
      <c r="E17" s="63" t="s">
        <v>72</v>
      </c>
      <c r="F17" s="63"/>
      <c r="G17" s="63"/>
      <c r="H17" s="27" t="str">
        <f>_xlfn.DISPIMG("ID_DE8DBA5BFA8A419A9FCF41AFB96314AA",1)</f>
        <v>=DISPIMG("ID_DE8DBA5BFA8A419A9FCF41AFB96314AA",1)</v>
      </c>
      <c r="I17" s="41" t="s">
        <v>76</v>
      </c>
    </row>
    <row r="18" s="21" customFormat="1" ht="84" customHeight="1" spans="1:9">
      <c r="A18" s="27">
        <v>16</v>
      </c>
      <c r="B18" s="27" t="s">
        <v>79</v>
      </c>
      <c r="C18" s="27">
        <v>7</v>
      </c>
      <c r="D18" s="63" t="s">
        <v>80</v>
      </c>
      <c r="E18" s="63" t="s">
        <v>72</v>
      </c>
      <c r="F18" s="63"/>
      <c r="G18" s="63"/>
      <c r="H18" s="27" t="str">
        <f>_xlfn.DISPIMG("ID_38865E0040A24F12AC4B685FC13422CC",1)</f>
        <v>=DISPIMG("ID_38865E0040A24F12AC4B685FC13422CC",1)</v>
      </c>
      <c r="I18" s="41" t="s">
        <v>76</v>
      </c>
    </row>
    <row r="19" s="21" customFormat="1" ht="84" customHeight="1" spans="1:9">
      <c r="A19" s="27">
        <v>17</v>
      </c>
      <c r="B19" s="27" t="s">
        <v>81</v>
      </c>
      <c r="C19" s="27">
        <v>232</v>
      </c>
      <c r="D19" s="63" t="s">
        <v>82</v>
      </c>
      <c r="E19" s="63" t="s">
        <v>72</v>
      </c>
      <c r="F19" s="63"/>
      <c r="G19" s="63"/>
      <c r="H19" s="27" t="str">
        <f>_xlfn.DISPIMG("ID_327C2E5D953349ED98D3B3136092F369",1)</f>
        <v>=DISPIMG("ID_327C2E5D953349ED98D3B3136092F369",1)</v>
      </c>
      <c r="I19" s="41" t="s">
        <v>83</v>
      </c>
    </row>
    <row r="20" s="21" customFormat="1" ht="84" customHeight="1" spans="1:9">
      <c r="A20" s="27">
        <v>18</v>
      </c>
      <c r="B20" s="27" t="s">
        <v>84</v>
      </c>
      <c r="C20" s="27">
        <v>12</v>
      </c>
      <c r="D20" s="63" t="s">
        <v>60</v>
      </c>
      <c r="E20" s="63" t="s">
        <v>34</v>
      </c>
      <c r="F20" s="63"/>
      <c r="G20" s="63"/>
      <c r="H20" s="27" t="str">
        <f>_xlfn.DISPIMG("ID_6199BEFC203F4160951F32E3458C6A75",1)</f>
        <v>=DISPIMG("ID_6199BEFC203F4160951F32E3458C6A75",1)</v>
      </c>
      <c r="I20" s="41" t="s">
        <v>85</v>
      </c>
    </row>
    <row r="21" ht="25" customHeight="1" spans="1:9">
      <c r="A21" s="26" t="s">
        <v>86</v>
      </c>
      <c r="B21" s="35">
        <f>SUM(G:G)</f>
        <v>0</v>
      </c>
      <c r="C21" s="36"/>
      <c r="D21" s="36"/>
      <c r="E21" s="36"/>
      <c r="F21" s="36"/>
      <c r="G21" s="36"/>
      <c r="H21" s="36"/>
      <c r="I21" s="45"/>
    </row>
    <row r="22" spans="1:8">
      <c r="A22" s="37"/>
      <c r="B22" s="37"/>
      <c r="C22" s="37"/>
      <c r="D22" s="72"/>
      <c r="E22" s="72"/>
      <c r="F22" s="72"/>
      <c r="G22" s="75"/>
      <c r="H22" s="38"/>
    </row>
    <row r="23" spans="1:8">
      <c r="A23" s="37"/>
      <c r="B23" s="37"/>
      <c r="C23" s="37"/>
      <c r="D23" s="72"/>
      <c r="E23" s="72"/>
      <c r="F23" s="72"/>
      <c r="G23" s="75"/>
      <c r="H23" s="38"/>
    </row>
    <row r="24" spans="1:8">
      <c r="A24" s="37"/>
      <c r="B24" s="37"/>
      <c r="C24" s="37"/>
      <c r="D24" s="72"/>
      <c r="E24" s="72"/>
      <c r="F24" s="72"/>
      <c r="G24" s="75"/>
      <c r="H24" s="38"/>
    </row>
    <row r="25" spans="1:8">
      <c r="A25" s="37"/>
      <c r="B25" s="37"/>
      <c r="C25" s="37"/>
      <c r="D25" s="72"/>
      <c r="E25" s="72"/>
      <c r="F25" s="72"/>
      <c r="G25" s="75"/>
      <c r="H25" s="38"/>
    </row>
    <row r="26" spans="1:8">
      <c r="A26" s="37"/>
      <c r="B26" s="37"/>
      <c r="C26" s="37"/>
      <c r="D26" s="72"/>
      <c r="E26" s="72"/>
      <c r="F26" s="72"/>
      <c r="G26" s="75"/>
      <c r="H26" s="38"/>
    </row>
    <row r="27" spans="1:8">
      <c r="A27" s="37"/>
      <c r="B27" s="37"/>
      <c r="C27" s="37"/>
      <c r="D27" s="72"/>
      <c r="E27" s="72"/>
      <c r="F27" s="72"/>
      <c r="G27" s="75"/>
      <c r="H27" s="38"/>
    </row>
    <row r="28" spans="1:8">
      <c r="A28" s="37"/>
      <c r="B28" s="37"/>
      <c r="C28" s="37"/>
      <c r="D28" s="72"/>
      <c r="E28" s="72"/>
      <c r="F28" s="72"/>
      <c r="G28" s="75"/>
      <c r="H28" s="38"/>
    </row>
    <row r="29" spans="1:8">
      <c r="A29" s="37"/>
      <c r="B29" s="37"/>
      <c r="C29" s="37"/>
      <c r="D29" s="72"/>
      <c r="E29" s="72"/>
      <c r="F29" s="72"/>
      <c r="G29" s="75"/>
      <c r="H29" s="38"/>
    </row>
    <row r="30" spans="1:8">
      <c r="A30" s="37"/>
      <c r="B30" s="37"/>
      <c r="C30" s="37"/>
      <c r="D30" s="72"/>
      <c r="E30" s="72"/>
      <c r="F30" s="72"/>
      <c r="G30" s="75"/>
      <c r="H30" s="38"/>
    </row>
    <row r="31" spans="1:8">
      <c r="A31" s="37"/>
      <c r="B31" s="37"/>
      <c r="C31" s="37"/>
      <c r="D31" s="72"/>
      <c r="E31" s="72"/>
      <c r="F31" s="72"/>
      <c r="G31" s="75"/>
      <c r="H31" s="38"/>
    </row>
    <row r="32" spans="1:8">
      <c r="A32" s="37"/>
      <c r="B32" s="37"/>
      <c r="C32" s="37"/>
      <c r="D32" s="72"/>
      <c r="E32" s="72"/>
      <c r="F32" s="72"/>
      <c r="G32" s="75"/>
      <c r="H32" s="38"/>
    </row>
    <row r="33" spans="1:8">
      <c r="A33" s="37"/>
      <c r="B33" s="37"/>
      <c r="C33" s="37"/>
      <c r="D33" s="72"/>
      <c r="E33" s="72"/>
      <c r="F33" s="72"/>
      <c r="G33" s="75"/>
      <c r="H33" s="38"/>
    </row>
    <row r="34" spans="1:8">
      <c r="A34" s="37"/>
      <c r="B34" s="37"/>
      <c r="C34" s="37"/>
      <c r="D34" s="72"/>
      <c r="E34" s="72"/>
      <c r="F34" s="72"/>
      <c r="G34" s="75"/>
      <c r="H34" s="38"/>
    </row>
    <row r="35" spans="1:8">
      <c r="A35" s="37"/>
      <c r="B35" s="37"/>
      <c r="C35" s="37"/>
      <c r="D35" s="72"/>
      <c r="E35" s="72"/>
      <c r="F35" s="72"/>
      <c r="G35" s="75"/>
      <c r="H35" s="38"/>
    </row>
    <row r="36" spans="1:8">
      <c r="A36" s="37"/>
      <c r="B36" s="37"/>
      <c r="C36" s="37"/>
      <c r="D36" s="72"/>
      <c r="E36" s="72"/>
      <c r="F36" s="72"/>
      <c r="G36" s="75"/>
      <c r="H36" s="38"/>
    </row>
    <row r="37" spans="1:8">
      <c r="A37" s="37"/>
      <c r="B37" s="37"/>
      <c r="C37" s="37"/>
      <c r="D37" s="72"/>
      <c r="E37" s="72"/>
      <c r="F37" s="72"/>
      <c r="G37" s="75"/>
      <c r="H37" s="38"/>
    </row>
    <row r="38" spans="1:8">
      <c r="A38" s="37"/>
      <c r="B38" s="37"/>
      <c r="C38" s="37"/>
      <c r="D38" s="72"/>
      <c r="E38" s="72"/>
      <c r="F38" s="72"/>
      <c r="G38" s="75"/>
      <c r="H38" s="38"/>
    </row>
    <row r="39" spans="1:8">
      <c r="A39" s="37"/>
      <c r="B39" s="37"/>
      <c r="C39" s="37"/>
      <c r="D39" s="72"/>
      <c r="E39" s="72"/>
      <c r="F39" s="72"/>
      <c r="G39" s="75"/>
      <c r="H39" s="38"/>
    </row>
    <row r="40" spans="1:8">
      <c r="A40" s="37"/>
      <c r="B40" s="37"/>
      <c r="C40" s="37"/>
      <c r="D40" s="72"/>
      <c r="E40" s="72"/>
      <c r="F40" s="72"/>
      <c r="G40" s="75"/>
      <c r="H40" s="38"/>
    </row>
    <row r="41" spans="1:8">
      <c r="A41" s="37"/>
      <c r="B41" s="37"/>
      <c r="C41" s="37"/>
      <c r="D41" s="72"/>
      <c r="E41" s="72"/>
      <c r="F41" s="72"/>
      <c r="G41" s="75"/>
      <c r="H41" s="38"/>
    </row>
    <row r="42" spans="1:6">
      <c r="A42" s="22"/>
      <c r="B42" s="22"/>
      <c r="C42" s="22"/>
      <c r="D42" s="73"/>
      <c r="E42" s="73"/>
      <c r="F42" s="73"/>
    </row>
    <row r="43" spans="1:6">
      <c r="A43" s="22"/>
      <c r="B43" s="22"/>
      <c r="C43" s="22"/>
      <c r="D43" s="73"/>
      <c r="E43" s="73"/>
      <c r="F43" s="73"/>
    </row>
    <row r="44" spans="1:6">
      <c r="A44" s="22"/>
      <c r="B44" s="22"/>
      <c r="C44" s="22"/>
      <c r="D44" s="73"/>
      <c r="E44" s="73"/>
      <c r="F44" s="73"/>
    </row>
    <row r="45" spans="1:6">
      <c r="A45" s="22"/>
      <c r="B45" s="22"/>
      <c r="C45" s="22"/>
      <c r="D45" s="73"/>
      <c r="E45" s="73"/>
      <c r="F45" s="73"/>
    </row>
    <row r="46" spans="1:6">
      <c r="A46" s="22"/>
      <c r="B46" s="22"/>
      <c r="C46" s="22"/>
      <c r="D46" s="73"/>
      <c r="E46" s="73"/>
      <c r="F46" s="73"/>
    </row>
    <row r="47" spans="1:6">
      <c r="A47" s="22"/>
      <c r="B47" s="22"/>
      <c r="C47" s="22"/>
      <c r="D47" s="73"/>
      <c r="E47" s="73"/>
      <c r="F47" s="73"/>
    </row>
    <row r="48" spans="1:6">
      <c r="A48" s="22"/>
      <c r="B48" s="22"/>
      <c r="C48" s="22"/>
      <c r="D48" s="73"/>
      <c r="E48" s="73"/>
      <c r="F48" s="73"/>
    </row>
    <row r="49" spans="1:6">
      <c r="A49" s="22"/>
      <c r="B49" s="22"/>
      <c r="C49" s="22"/>
      <c r="D49" s="73"/>
      <c r="E49" s="73"/>
      <c r="F49" s="73"/>
    </row>
    <row r="50" spans="1:6">
      <c r="A50" s="22"/>
      <c r="B50" s="22"/>
      <c r="C50" s="22"/>
      <c r="D50" s="73"/>
      <c r="E50" s="73"/>
      <c r="F50" s="73"/>
    </row>
    <row r="51" spans="1:6">
      <c r="A51" s="22"/>
      <c r="B51" s="22"/>
      <c r="C51" s="22"/>
      <c r="D51" s="73"/>
      <c r="E51" s="73"/>
      <c r="F51" s="73"/>
    </row>
    <row r="52" spans="1:6">
      <c r="A52" s="22"/>
      <c r="B52" s="22"/>
      <c r="C52" s="22"/>
      <c r="D52" s="73"/>
      <c r="E52" s="73"/>
      <c r="F52" s="73"/>
    </row>
  </sheetData>
  <mergeCells count="2">
    <mergeCell ref="A1:I1"/>
    <mergeCell ref="B21:I21"/>
  </mergeCells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75"/>
  <sheetViews>
    <sheetView zoomScale="40" zoomScaleNormal="40" workbookViewId="0">
      <selection activeCell="F39" sqref="F39"/>
    </sheetView>
  </sheetViews>
  <sheetFormatPr defaultColWidth="9" defaultRowHeight="17.6"/>
  <cols>
    <col min="1" max="1" width="11.1327433628319" style="46" customWidth="1"/>
    <col min="2" max="2" width="19.2477876106195" style="21" customWidth="1"/>
    <col min="3" max="3" width="12.8761061946903" style="21" customWidth="1"/>
    <col min="4" max="4" width="20.8761061946903" style="21" customWidth="1"/>
    <col min="5" max="5" width="24.7522123893805" style="21" customWidth="1"/>
    <col min="6" max="6" width="19.6283185840708" style="21" customWidth="1"/>
    <col min="7" max="7" width="24.7522123893805" style="21" customWidth="1"/>
    <col min="8" max="8" width="26.8761061946903" style="21" customWidth="1"/>
    <col min="9" max="9" width="16.3805309734513" style="120" customWidth="1"/>
    <col min="10" max="16384" width="9" style="21"/>
  </cols>
  <sheetData>
    <row r="1" s="21" customFormat="1" ht="31" customHeight="1" spans="1:9">
      <c r="A1" s="76" t="s">
        <v>87</v>
      </c>
      <c r="B1" s="102"/>
      <c r="C1" s="102"/>
      <c r="D1" s="102"/>
      <c r="E1" s="102"/>
      <c r="F1" s="102"/>
      <c r="G1" s="102"/>
      <c r="H1" s="102"/>
      <c r="I1" s="102"/>
    </row>
    <row r="2" s="21" customFormat="1" ht="17.65" spans="1:9">
      <c r="A2" s="77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173" customHeight="1" spans="1:9">
      <c r="A3" s="121">
        <v>1</v>
      </c>
      <c r="B3" s="122" t="s">
        <v>88</v>
      </c>
      <c r="C3" s="123">
        <v>1</v>
      </c>
      <c r="D3" s="123" t="s">
        <v>89</v>
      </c>
      <c r="E3" s="123" t="s">
        <v>90</v>
      </c>
      <c r="F3" s="123"/>
      <c r="G3" s="123"/>
      <c r="H3" s="124" t="str">
        <f>_xlfn.DISPIMG("ID_5F970F79F7A748CDB8C36A8919E1EE07",1)</f>
        <v>=DISPIMG("ID_5F970F79F7A748CDB8C36A8919E1EE07",1)</v>
      </c>
      <c r="I3" s="141" t="s">
        <v>91</v>
      </c>
    </row>
    <row r="4" s="21" customFormat="1" ht="173" customHeight="1" spans="1:9">
      <c r="A4" s="125">
        <v>2</v>
      </c>
      <c r="B4" s="126" t="s">
        <v>92</v>
      </c>
      <c r="C4" s="127">
        <v>13</v>
      </c>
      <c r="D4" s="127" t="s">
        <v>93</v>
      </c>
      <c r="E4" s="127" t="s">
        <v>90</v>
      </c>
      <c r="F4" s="127"/>
      <c r="G4" s="127"/>
      <c r="H4" s="128" t="str">
        <f>_xlfn.DISPIMG("ID_CB534B873D8F42FB866F18AA6CD46B67",1)</f>
        <v>=DISPIMG("ID_CB534B873D8F42FB866F18AA6CD46B67",1)</v>
      </c>
      <c r="I4" s="142" t="s">
        <v>91</v>
      </c>
    </row>
    <row r="5" s="21" customFormat="1" ht="174.4" spans="1:9">
      <c r="A5" s="125">
        <v>3</v>
      </c>
      <c r="B5" s="126" t="s">
        <v>94</v>
      </c>
      <c r="C5" s="127">
        <v>13</v>
      </c>
      <c r="D5" s="127" t="s">
        <v>93</v>
      </c>
      <c r="E5" s="127" t="s">
        <v>95</v>
      </c>
      <c r="F5" s="127"/>
      <c r="G5" s="127"/>
      <c r="H5" s="129" t="str">
        <f>_xlfn.DISPIMG("ID_58D58B0F0E2F483F86A4E60AD5036C62",1)</f>
        <v>=DISPIMG("ID_58D58B0F0E2F483F86A4E60AD5036C62",1)</v>
      </c>
      <c r="I5" s="142" t="s">
        <v>91</v>
      </c>
    </row>
    <row r="6" s="21" customFormat="1" ht="174.4" spans="1:9">
      <c r="A6" s="125">
        <v>4</v>
      </c>
      <c r="B6" s="126" t="s">
        <v>96</v>
      </c>
      <c r="C6" s="127">
        <v>12</v>
      </c>
      <c r="D6" s="127" t="s">
        <v>93</v>
      </c>
      <c r="E6" s="127" t="s">
        <v>97</v>
      </c>
      <c r="F6" s="127"/>
      <c r="G6" s="127"/>
      <c r="H6" s="129" t="str">
        <f>_xlfn.DISPIMG("ID_58D58B0F0E2F483F86A4E60AD5036C62",1)</f>
        <v>=DISPIMG("ID_58D58B0F0E2F483F86A4E60AD5036C62",1)</v>
      </c>
      <c r="I6" s="142" t="s">
        <v>91</v>
      </c>
    </row>
    <row r="7" s="21" customFormat="1" ht="84" customHeight="1" spans="1:9">
      <c r="A7" s="125">
        <v>5</v>
      </c>
      <c r="B7" s="126" t="s">
        <v>98</v>
      </c>
      <c r="C7" s="127">
        <v>13</v>
      </c>
      <c r="D7" s="127" t="s">
        <v>93</v>
      </c>
      <c r="E7" s="127" t="s">
        <v>99</v>
      </c>
      <c r="F7" s="127"/>
      <c r="G7" s="127"/>
      <c r="H7" s="129" t="str">
        <f>_xlfn.DISPIMG("ID_422293950C9443F68E1D200B355743C3",1)</f>
        <v>=DISPIMG("ID_422293950C9443F68E1D200B355743C3",1)</v>
      </c>
      <c r="I7" s="142" t="s">
        <v>91</v>
      </c>
    </row>
    <row r="8" s="21" customFormat="1" ht="121.5" spans="1:9">
      <c r="A8" s="125">
        <v>6</v>
      </c>
      <c r="B8" s="127" t="s">
        <v>100</v>
      </c>
      <c r="C8" s="127">
        <v>3</v>
      </c>
      <c r="D8" s="127" t="s">
        <v>101</v>
      </c>
      <c r="E8" s="127" t="s">
        <v>95</v>
      </c>
      <c r="F8" s="127"/>
      <c r="G8" s="127"/>
      <c r="H8" s="128" t="str">
        <f t="shared" ref="H8:H11" si="0">_xlfn.DISPIMG("ID_865ED975A9A749EC9101EE1C9F08E87A",1)</f>
        <v>=DISPIMG("ID_865ED975A9A749EC9101EE1C9F08E87A",1)</v>
      </c>
      <c r="I8" s="142" t="s">
        <v>102</v>
      </c>
    </row>
    <row r="9" s="21" customFormat="1" ht="84" customHeight="1" spans="1:9">
      <c r="A9" s="125">
        <v>7</v>
      </c>
      <c r="B9" s="127" t="s">
        <v>100</v>
      </c>
      <c r="C9" s="127">
        <v>2</v>
      </c>
      <c r="D9" s="127" t="s">
        <v>101</v>
      </c>
      <c r="E9" s="127" t="s">
        <v>97</v>
      </c>
      <c r="F9" s="127"/>
      <c r="G9" s="127"/>
      <c r="H9" s="128" t="str">
        <f t="shared" si="0"/>
        <v>=DISPIMG("ID_865ED975A9A749EC9101EE1C9F08E87A",1)</v>
      </c>
      <c r="I9" s="142" t="s">
        <v>102</v>
      </c>
    </row>
    <row r="10" s="21" customFormat="1" ht="92.25" customHeight="1" spans="1:9">
      <c r="A10" s="125">
        <v>8</v>
      </c>
      <c r="B10" s="126" t="s">
        <v>100</v>
      </c>
      <c r="C10" s="127">
        <v>2</v>
      </c>
      <c r="D10" s="127" t="s">
        <v>101</v>
      </c>
      <c r="E10" s="127" t="s">
        <v>99</v>
      </c>
      <c r="F10" s="127"/>
      <c r="G10" s="127"/>
      <c r="H10" s="128" t="str">
        <f>_xlfn.DISPIMG("ID_840E291EB2CD42FEBE6E3EDF30A4C548",1)</f>
        <v>=DISPIMG("ID_840E291EB2CD42FEBE6E3EDF30A4C548",1)</v>
      </c>
      <c r="I10" s="142" t="s">
        <v>102</v>
      </c>
    </row>
    <row r="11" s="21" customFormat="1" ht="122.25" customHeight="1" spans="1:9">
      <c r="A11" s="125">
        <v>9</v>
      </c>
      <c r="B11" s="127" t="s">
        <v>100</v>
      </c>
      <c r="C11" s="127">
        <v>2</v>
      </c>
      <c r="D11" s="126" t="s">
        <v>101</v>
      </c>
      <c r="E11" s="126" t="s">
        <v>103</v>
      </c>
      <c r="F11" s="127"/>
      <c r="G11" s="127"/>
      <c r="H11" s="128" t="str">
        <f t="shared" si="0"/>
        <v>=DISPIMG("ID_865ED975A9A749EC9101EE1C9F08E87A",1)</v>
      </c>
      <c r="I11" s="142" t="s">
        <v>102</v>
      </c>
    </row>
    <row r="12" s="21" customFormat="1" ht="121.5" spans="1:9">
      <c r="A12" s="125">
        <v>10</v>
      </c>
      <c r="B12" s="126" t="s">
        <v>104</v>
      </c>
      <c r="C12" s="127">
        <v>4</v>
      </c>
      <c r="D12" s="127" t="s">
        <v>105</v>
      </c>
      <c r="E12" s="127" t="s">
        <v>106</v>
      </c>
      <c r="F12" s="127"/>
      <c r="G12" s="127"/>
      <c r="H12" s="129" t="str">
        <f>_xlfn.DISPIMG("ID_5C07CF7FAB9F421C9BBA0031A7E1F064",1)</f>
        <v>=DISPIMG("ID_5C07CF7FAB9F421C9BBA0031A7E1F064",1)</v>
      </c>
      <c r="I12" s="142" t="s">
        <v>91</v>
      </c>
    </row>
    <row r="13" s="21" customFormat="1" ht="144" customHeight="1" spans="1:9">
      <c r="A13" s="125">
        <v>11</v>
      </c>
      <c r="B13" s="126" t="s">
        <v>107</v>
      </c>
      <c r="C13" s="127">
        <v>14</v>
      </c>
      <c r="D13" s="127" t="s">
        <v>108</v>
      </c>
      <c r="E13" s="126" t="s">
        <v>109</v>
      </c>
      <c r="F13" s="127"/>
      <c r="G13" s="127"/>
      <c r="H13" s="128" t="str">
        <f>_xlfn.DISPIMG("ID_72D5D8FD23404F28A7D90537DDF9BF89",1)</f>
        <v>=DISPIMG("ID_72D5D8FD23404F28A7D90537DDF9BF89",1)</v>
      </c>
      <c r="I13" s="142" t="s">
        <v>91</v>
      </c>
    </row>
    <row r="14" s="21" customFormat="1" ht="211.55" spans="1:9">
      <c r="A14" s="125">
        <v>12</v>
      </c>
      <c r="B14" s="126" t="s">
        <v>110</v>
      </c>
      <c r="C14" s="126">
        <v>12</v>
      </c>
      <c r="D14" s="127" t="s">
        <v>108</v>
      </c>
      <c r="E14" s="126" t="s">
        <v>111</v>
      </c>
      <c r="F14" s="127"/>
      <c r="G14" s="127"/>
      <c r="H14" s="128" t="str">
        <f t="shared" ref="H14:H19" si="1">_xlfn.DISPIMG("ID_F10147FAF889440EBBF9D3B81F918594",1)</f>
        <v>=DISPIMG("ID_F10147FAF889440EBBF9D3B81F918594",1)</v>
      </c>
      <c r="I14" s="142" t="s">
        <v>91</v>
      </c>
    </row>
    <row r="15" s="21" customFormat="1" ht="214.25" spans="1:9">
      <c r="A15" s="125">
        <v>13</v>
      </c>
      <c r="B15" s="126" t="s">
        <v>112</v>
      </c>
      <c r="C15" s="127">
        <v>1</v>
      </c>
      <c r="D15" s="127"/>
      <c r="E15" s="126" t="s">
        <v>113</v>
      </c>
      <c r="F15" s="127"/>
      <c r="G15" s="127"/>
      <c r="H15" s="129" t="str">
        <f>_xlfn.DISPIMG("ID_D51215554BEE4F32A89E28F8503AAFD2",1)</f>
        <v>=DISPIMG("ID_D51215554BEE4F32A89E28F8503AAFD2",1)</v>
      </c>
      <c r="I15" s="142" t="s">
        <v>91</v>
      </c>
    </row>
    <row r="16" s="21" customFormat="1" ht="214.25" spans="1:9">
      <c r="A16" s="125">
        <v>14</v>
      </c>
      <c r="B16" s="126" t="s">
        <v>114</v>
      </c>
      <c r="C16" s="127">
        <v>1</v>
      </c>
      <c r="D16" s="127"/>
      <c r="E16" s="126" t="s">
        <v>115</v>
      </c>
      <c r="F16" s="127"/>
      <c r="G16" s="127"/>
      <c r="H16" s="129" t="str">
        <f>_xlfn.DISPIMG("ID_8971F28D447B4AECA316B40F3231B213",1)</f>
        <v>=DISPIMG("ID_8971F28D447B4AECA316B40F3231B213",1)</v>
      </c>
      <c r="I16" s="142" t="s">
        <v>91</v>
      </c>
    </row>
    <row r="17" s="21" customFormat="1" ht="214.25" spans="1:9">
      <c r="A17" s="125">
        <v>15</v>
      </c>
      <c r="B17" s="126" t="s">
        <v>116</v>
      </c>
      <c r="C17" s="127">
        <v>3</v>
      </c>
      <c r="D17" s="127" t="s">
        <v>108</v>
      </c>
      <c r="E17" s="126" t="s">
        <v>113</v>
      </c>
      <c r="F17" s="127"/>
      <c r="G17" s="127"/>
      <c r="H17" s="129" t="str">
        <f>_xlfn.DISPIMG("ID_140CB0D6955A47EFA71BE0DFCE3500D5",1)</f>
        <v>=DISPIMG("ID_140CB0D6955A47EFA71BE0DFCE3500D5",1)</v>
      </c>
      <c r="I17" s="142" t="s">
        <v>91</v>
      </c>
    </row>
    <row r="18" s="21" customFormat="1" ht="84" customHeight="1" spans="1:9">
      <c r="A18" s="125">
        <v>16</v>
      </c>
      <c r="B18" s="126" t="s">
        <v>117</v>
      </c>
      <c r="C18" s="127">
        <v>25</v>
      </c>
      <c r="D18" s="127" t="s">
        <v>108</v>
      </c>
      <c r="E18" s="127" t="s">
        <v>97</v>
      </c>
      <c r="F18" s="127"/>
      <c r="G18" s="127"/>
      <c r="H18" s="128" t="str">
        <f t="shared" si="1"/>
        <v>=DISPIMG("ID_F10147FAF889440EBBF9D3B81F918594",1)</v>
      </c>
      <c r="I18" s="142" t="s">
        <v>91</v>
      </c>
    </row>
    <row r="19" s="21" customFormat="1" ht="105" customHeight="1" spans="1:9">
      <c r="A19" s="125">
        <v>17</v>
      </c>
      <c r="B19" s="126" t="s">
        <v>117</v>
      </c>
      <c r="C19" s="127">
        <v>20</v>
      </c>
      <c r="D19" s="127" t="s">
        <v>108</v>
      </c>
      <c r="E19" s="127" t="s">
        <v>99</v>
      </c>
      <c r="F19" s="127"/>
      <c r="G19" s="127"/>
      <c r="H19" s="128" t="str">
        <f t="shared" si="1"/>
        <v>=DISPIMG("ID_F10147FAF889440EBBF9D3B81F918594",1)</v>
      </c>
      <c r="I19" s="142" t="s">
        <v>91</v>
      </c>
    </row>
    <row r="20" s="21" customFormat="1" ht="122.25" customHeight="1" spans="1:9">
      <c r="A20" s="125">
        <v>18</v>
      </c>
      <c r="B20" s="126" t="s">
        <v>118</v>
      </c>
      <c r="C20" s="127">
        <v>1</v>
      </c>
      <c r="D20" s="127" t="s">
        <v>108</v>
      </c>
      <c r="E20" s="127" t="s">
        <v>99</v>
      </c>
      <c r="F20" s="127"/>
      <c r="G20" s="127"/>
      <c r="H20" s="128" t="str">
        <f>_xlfn.DISPIMG("ID_491523B31BB94BE08E98E2D857298FBC",1)</f>
        <v>=DISPIMG("ID_491523B31BB94BE08E98E2D857298FBC",1)</v>
      </c>
      <c r="I20" s="142" t="s">
        <v>91</v>
      </c>
    </row>
    <row r="21" s="21" customFormat="1" ht="84" customHeight="1" spans="1:9">
      <c r="A21" s="125">
        <v>19</v>
      </c>
      <c r="B21" s="126" t="s">
        <v>117</v>
      </c>
      <c r="C21" s="127">
        <v>16</v>
      </c>
      <c r="D21" s="126" t="s">
        <v>108</v>
      </c>
      <c r="E21" s="126" t="s">
        <v>103</v>
      </c>
      <c r="F21" s="127"/>
      <c r="G21" s="127"/>
      <c r="H21" s="128" t="str">
        <f>_xlfn.DISPIMG("ID_F10147FAF889440EBBF9D3B81F918594",1)</f>
        <v>=DISPIMG("ID_F10147FAF889440EBBF9D3B81F918594",1)</v>
      </c>
      <c r="I21" s="142" t="s">
        <v>91</v>
      </c>
    </row>
    <row r="22" s="21" customFormat="1" ht="95" customHeight="1" spans="1:9">
      <c r="A22" s="125">
        <v>20</v>
      </c>
      <c r="B22" s="126" t="s">
        <v>119</v>
      </c>
      <c r="C22" s="127">
        <v>1</v>
      </c>
      <c r="D22" s="126" t="s">
        <v>108</v>
      </c>
      <c r="E22" s="126" t="s">
        <v>103</v>
      </c>
      <c r="F22" s="127"/>
      <c r="G22" s="127"/>
      <c r="H22" s="128" t="str">
        <f>_xlfn.DISPIMG("ID_1AA2DFC453E1483B8532C023245CCA69",1)</f>
        <v>=DISPIMG("ID_1AA2DFC453E1483B8532C023245CCA69",1)</v>
      </c>
      <c r="I22" s="142" t="s">
        <v>91</v>
      </c>
    </row>
    <row r="23" s="21" customFormat="1" ht="214.25" spans="1:9">
      <c r="A23" s="125">
        <v>21</v>
      </c>
      <c r="B23" s="126" t="s">
        <v>120</v>
      </c>
      <c r="C23" s="127">
        <v>1</v>
      </c>
      <c r="D23" s="127"/>
      <c r="E23" s="126" t="s">
        <v>95</v>
      </c>
      <c r="F23" s="127"/>
      <c r="G23" s="127"/>
      <c r="H23" s="129" t="str">
        <f>_xlfn.DISPIMG("ID_34393A4F16F641FB9D98BF4F63FC4421",1)</f>
        <v>=DISPIMG("ID_34393A4F16F641FB9D98BF4F63FC4421",1)</v>
      </c>
      <c r="I23" s="142" t="s">
        <v>121</v>
      </c>
    </row>
    <row r="24" s="21" customFormat="1" ht="121.5" spans="1:9">
      <c r="A24" s="125">
        <v>22</v>
      </c>
      <c r="B24" s="126" t="s">
        <v>122</v>
      </c>
      <c r="C24" s="127">
        <v>4</v>
      </c>
      <c r="D24" s="127"/>
      <c r="E24" s="126" t="s">
        <v>123</v>
      </c>
      <c r="F24" s="127"/>
      <c r="G24" s="127"/>
      <c r="H24" s="129" t="str">
        <f>_xlfn.DISPIMG("ID_D588F52EF3F546E4BBB560C23026561D",1)</f>
        <v>=DISPIMG("ID_D588F52EF3F546E4BBB560C23026561D",1)</v>
      </c>
      <c r="I24" s="142" t="s">
        <v>91</v>
      </c>
    </row>
    <row r="25" s="21" customFormat="1" ht="121.5" spans="1:9">
      <c r="A25" s="125">
        <v>23</v>
      </c>
      <c r="B25" s="126" t="s">
        <v>124</v>
      </c>
      <c r="C25" s="127">
        <v>1</v>
      </c>
      <c r="D25" s="127"/>
      <c r="E25" s="126" t="s">
        <v>125</v>
      </c>
      <c r="F25" s="127"/>
      <c r="G25" s="127"/>
      <c r="H25" s="129" t="str">
        <f>_xlfn.DISPIMG("ID_12CB2C1C582B40A89203AE5D3B4DACBA",1)</f>
        <v>=DISPIMG("ID_12CB2C1C582B40A89203AE5D3B4DACBA",1)</v>
      </c>
      <c r="I25" s="142" t="s">
        <v>91</v>
      </c>
    </row>
    <row r="26" s="21" customFormat="1" ht="214.25" spans="1:9">
      <c r="A26" s="125">
        <v>24</v>
      </c>
      <c r="B26" s="126" t="s">
        <v>126</v>
      </c>
      <c r="C26" s="127">
        <v>1</v>
      </c>
      <c r="D26" s="127"/>
      <c r="E26" s="126" t="s">
        <v>127</v>
      </c>
      <c r="F26" s="127"/>
      <c r="G26" s="127"/>
      <c r="H26" s="129" t="str">
        <f>_xlfn.DISPIMG("ID_ED7B05A790A444B6B8945CC437CCAA1C",1)</f>
        <v>=DISPIMG("ID_ED7B05A790A444B6B8945CC437CCAA1C",1)</v>
      </c>
      <c r="I26" s="142" t="s">
        <v>128</v>
      </c>
    </row>
    <row r="27" s="21" customFormat="1" ht="214.25" spans="1:9">
      <c r="A27" s="125">
        <v>25</v>
      </c>
      <c r="B27" s="127" t="s">
        <v>104</v>
      </c>
      <c r="C27" s="127">
        <v>24</v>
      </c>
      <c r="D27" s="127" t="s">
        <v>93</v>
      </c>
      <c r="E27" s="127" t="s">
        <v>129</v>
      </c>
      <c r="F27" s="127"/>
      <c r="G27" s="127"/>
      <c r="H27" s="129" t="str">
        <f>_xlfn.DISPIMG("ID_8D7DDA2F8E924D9186887F532EDDC5FC",1)</f>
        <v>=DISPIMG("ID_8D7DDA2F8E924D9186887F532EDDC5FC",1)</v>
      </c>
      <c r="I27" s="142" t="s">
        <v>91</v>
      </c>
    </row>
    <row r="28" s="21" customFormat="1" ht="121.5" spans="1:9">
      <c r="A28" s="125">
        <v>26</v>
      </c>
      <c r="B28" s="127" t="s">
        <v>70</v>
      </c>
      <c r="C28" s="127">
        <v>10</v>
      </c>
      <c r="D28" s="127" t="s">
        <v>130</v>
      </c>
      <c r="E28" s="126" t="s">
        <v>131</v>
      </c>
      <c r="F28" s="127"/>
      <c r="G28" s="127"/>
      <c r="H28" s="128" t="str">
        <f>_xlfn.DISPIMG("ID_372142F8109947109FD899E67B9EE6CB",1)</f>
        <v>=DISPIMG("ID_372142F8109947109FD899E67B9EE6CB",1)</v>
      </c>
      <c r="I28" s="142" t="s">
        <v>91</v>
      </c>
    </row>
    <row r="29" s="21" customFormat="1" ht="211.35" spans="1:9">
      <c r="A29" s="125">
        <v>27</v>
      </c>
      <c r="B29" s="127" t="s">
        <v>132</v>
      </c>
      <c r="C29" s="127">
        <v>9</v>
      </c>
      <c r="D29" s="127" t="s">
        <v>133</v>
      </c>
      <c r="E29" s="126" t="s">
        <v>134</v>
      </c>
      <c r="F29" s="127"/>
      <c r="G29" s="127"/>
      <c r="H29" s="129" t="str">
        <f>_xlfn.DISPIMG("ID_7415006C672E469A982A8F5BAD581368",1)</f>
        <v>=DISPIMG("ID_7415006C672E469A982A8F5BAD581368",1)</v>
      </c>
      <c r="I29" s="142" t="s">
        <v>135</v>
      </c>
    </row>
    <row r="30" s="21" customFormat="1" ht="119.3" spans="1:9">
      <c r="A30" s="125">
        <v>28</v>
      </c>
      <c r="B30" s="126" t="s">
        <v>136</v>
      </c>
      <c r="C30" s="127">
        <v>8</v>
      </c>
      <c r="D30" s="127" t="s">
        <v>133</v>
      </c>
      <c r="E30" s="126" t="s">
        <v>137</v>
      </c>
      <c r="F30" s="127"/>
      <c r="G30" s="127"/>
      <c r="H30" s="128" t="str">
        <f>_xlfn.DISPIMG("ID_3BE5B7245B514A76B49B1CC5F6CEDDD0",1)</f>
        <v>=DISPIMG("ID_3BE5B7245B514A76B49B1CC5F6CEDDD0",1)</v>
      </c>
      <c r="I30" s="142" t="s">
        <v>138</v>
      </c>
    </row>
    <row r="31" s="21" customFormat="1" ht="214.25" spans="1:9">
      <c r="A31" s="125">
        <v>29</v>
      </c>
      <c r="B31" s="126" t="s">
        <v>139</v>
      </c>
      <c r="C31" s="127">
        <v>8</v>
      </c>
      <c r="D31" s="127" t="s">
        <v>133</v>
      </c>
      <c r="E31" s="126" t="s">
        <v>137</v>
      </c>
      <c r="F31" s="127"/>
      <c r="G31" s="127"/>
      <c r="H31" s="128" t="str">
        <f>_xlfn.DISPIMG("ID_3037B8BE6F8B4B51BDF5737EF40B6242",1)</f>
        <v>=DISPIMG("ID_3037B8BE6F8B4B51BDF5737EF40B6242",1)</v>
      </c>
      <c r="I31" s="142" t="s">
        <v>138</v>
      </c>
    </row>
    <row r="32" s="21" customFormat="1" ht="121.5" spans="1:9">
      <c r="A32" s="125">
        <v>30</v>
      </c>
      <c r="B32" s="126" t="s">
        <v>140</v>
      </c>
      <c r="C32" s="127">
        <v>3</v>
      </c>
      <c r="D32" s="126" t="s">
        <v>141</v>
      </c>
      <c r="E32" s="126" t="s">
        <v>142</v>
      </c>
      <c r="F32" s="127"/>
      <c r="G32" s="127"/>
      <c r="H32" s="128" t="str">
        <f>_xlfn.DISPIMG("ID_E9050988DA5C42B7BEC27C2F3EDD78C1",1)</f>
        <v>=DISPIMG("ID_E9050988DA5C42B7BEC27C2F3EDD78C1",1)</v>
      </c>
      <c r="I32" s="142" t="s">
        <v>135</v>
      </c>
    </row>
    <row r="33" s="21" customFormat="1" ht="84" customHeight="1" spans="1:9">
      <c r="A33" s="125">
        <v>31</v>
      </c>
      <c r="B33" s="126" t="s">
        <v>59</v>
      </c>
      <c r="C33" s="127">
        <v>45</v>
      </c>
      <c r="D33" s="127" t="s">
        <v>143</v>
      </c>
      <c r="E33" s="127" t="s">
        <v>106</v>
      </c>
      <c r="F33" s="127"/>
      <c r="G33" s="127"/>
      <c r="H33" s="129" t="str">
        <f>_xlfn.DISPIMG("ID_8E186484167E40E99ACF19C25DE02B53",1)</f>
        <v>=DISPIMG("ID_8E186484167E40E99ACF19C25DE02B53",1)</v>
      </c>
      <c r="I33" s="142" t="s">
        <v>144</v>
      </c>
    </row>
    <row r="34" s="21" customFormat="1" ht="95" customHeight="1" spans="1:9">
      <c r="A34" s="125">
        <v>32</v>
      </c>
      <c r="B34" s="127" t="s">
        <v>145</v>
      </c>
      <c r="C34" s="127">
        <v>2</v>
      </c>
      <c r="D34" s="126" t="s">
        <v>133</v>
      </c>
      <c r="E34" s="126" t="s">
        <v>146</v>
      </c>
      <c r="F34" s="127"/>
      <c r="G34" s="127"/>
      <c r="H34" s="128" t="str">
        <f>_xlfn.DISPIMG("ID_9F9C76F768744E25B557C2964C283AE6",1)</f>
        <v>=DISPIMG("ID_9F9C76F768744E25B557C2964C283AE6",1)</v>
      </c>
      <c r="I34" s="142" t="s">
        <v>135</v>
      </c>
    </row>
    <row r="35" s="21" customFormat="1" ht="95" customHeight="1" spans="1:9">
      <c r="A35" s="125">
        <v>33</v>
      </c>
      <c r="B35" s="126" t="s">
        <v>147</v>
      </c>
      <c r="C35" s="127">
        <v>3</v>
      </c>
      <c r="D35" s="126" t="s">
        <v>148</v>
      </c>
      <c r="E35" s="126" t="s">
        <v>149</v>
      </c>
      <c r="F35" s="127"/>
      <c r="G35" s="127"/>
      <c r="H35" s="128" t="str">
        <f>_xlfn.DISPIMG("ID_C71803BC652E4B6FA5F3AC35BBB007F2",1)</f>
        <v>=DISPIMG("ID_C71803BC652E4B6FA5F3AC35BBB007F2",1)</v>
      </c>
      <c r="I35" s="142" t="s">
        <v>150</v>
      </c>
    </row>
    <row r="36" s="21" customFormat="1" ht="95" customHeight="1" spans="1:9">
      <c r="A36" s="130">
        <v>34</v>
      </c>
      <c r="B36" s="131" t="s">
        <v>151</v>
      </c>
      <c r="C36" s="132">
        <v>1</v>
      </c>
      <c r="D36" s="131" t="s">
        <v>108</v>
      </c>
      <c r="E36" s="131" t="s">
        <v>103</v>
      </c>
      <c r="F36" s="132"/>
      <c r="G36" s="132"/>
      <c r="H36" s="133"/>
      <c r="I36" s="142" t="s">
        <v>91</v>
      </c>
    </row>
    <row r="37" s="119" customFormat="1" ht="77" customHeight="1" spans="1:9">
      <c r="A37" s="134">
        <v>35</v>
      </c>
      <c r="B37" s="135" t="s">
        <v>152</v>
      </c>
      <c r="C37" s="136">
        <v>2</v>
      </c>
      <c r="D37" s="135" t="s">
        <v>153</v>
      </c>
      <c r="E37" s="137" t="s">
        <v>9</v>
      </c>
      <c r="F37" s="137"/>
      <c r="G37" s="137"/>
      <c r="H37" s="137" t="str">
        <f>_xlfn.DISPIMG("ID_AABC6535C0A6471BAFC7C517F4FF170C",1)</f>
        <v>=DISPIMG("ID_AABC6535C0A6471BAFC7C517F4FF170C",1)</v>
      </c>
      <c r="I37" s="143" t="s">
        <v>154</v>
      </c>
    </row>
    <row r="38" s="21" customFormat="1" ht="30" customHeight="1" spans="1:9">
      <c r="A38" s="138" t="s">
        <v>86</v>
      </c>
      <c r="B38" s="139"/>
      <c r="C38" s="140"/>
      <c r="D38" s="140"/>
      <c r="E38" s="140"/>
      <c r="F38" s="140"/>
      <c r="G38" s="140"/>
      <c r="H38" s="140"/>
      <c r="I38" s="144"/>
    </row>
    <row r="39" s="21" customFormat="1" ht="95" customHeight="1" spans="1:9">
      <c r="A39" s="46"/>
      <c r="B39" s="37"/>
      <c r="C39" s="37"/>
      <c r="D39" s="37"/>
      <c r="E39" s="37"/>
      <c r="F39" s="37"/>
      <c r="G39" s="38"/>
      <c r="H39" s="38"/>
      <c r="I39" s="120"/>
    </row>
    <row r="40" s="21" customFormat="1" ht="95" customHeight="1" spans="1:9">
      <c r="A40" s="46"/>
      <c r="B40" s="37"/>
      <c r="C40" s="37"/>
      <c r="D40" s="37"/>
      <c r="E40" s="37"/>
      <c r="F40" s="37"/>
      <c r="G40" s="38"/>
      <c r="H40" s="38"/>
      <c r="I40" s="120"/>
    </row>
    <row r="41" s="21" customFormat="1" ht="95" customHeight="1" spans="1:9">
      <c r="A41" s="46"/>
      <c r="B41" s="37"/>
      <c r="C41" s="37"/>
      <c r="D41" s="37"/>
      <c r="E41" s="37"/>
      <c r="F41" s="37"/>
      <c r="G41" s="38"/>
      <c r="H41" s="38"/>
      <c r="I41" s="120"/>
    </row>
    <row r="42" s="21" customFormat="1" ht="95" customHeight="1" spans="1:9">
      <c r="A42" s="111"/>
      <c r="B42" s="37"/>
      <c r="C42" s="37"/>
      <c r="D42" s="37"/>
      <c r="E42" s="37"/>
      <c r="F42" s="37"/>
      <c r="G42" s="38"/>
      <c r="H42" s="38"/>
      <c r="I42" s="120"/>
    </row>
    <row r="43" s="21" customFormat="1" ht="95" customHeight="1" spans="1:9">
      <c r="A43" s="111"/>
      <c r="B43" s="37"/>
      <c r="C43" s="37"/>
      <c r="D43" s="37"/>
      <c r="E43" s="37"/>
      <c r="F43" s="37"/>
      <c r="G43" s="38"/>
      <c r="H43" s="38"/>
      <c r="I43" s="120"/>
    </row>
    <row r="44" s="21" customFormat="1" ht="25" customHeight="1" spans="1:9">
      <c r="A44" s="111"/>
      <c r="B44" s="37"/>
      <c r="C44" s="37"/>
      <c r="D44" s="37"/>
      <c r="E44" s="37"/>
      <c r="F44" s="37"/>
      <c r="G44" s="38"/>
      <c r="H44" s="38"/>
      <c r="I44" s="120"/>
    </row>
    <row r="45" s="21" customFormat="1" spans="1:9">
      <c r="A45" s="111"/>
      <c r="B45" s="37"/>
      <c r="C45" s="37"/>
      <c r="D45" s="37"/>
      <c r="E45" s="37"/>
      <c r="F45" s="37"/>
      <c r="G45" s="38"/>
      <c r="H45" s="38"/>
      <c r="I45" s="120"/>
    </row>
    <row r="46" s="21" customFormat="1" spans="1:9">
      <c r="A46" s="111"/>
      <c r="B46" s="37"/>
      <c r="C46" s="37"/>
      <c r="D46" s="37"/>
      <c r="E46" s="37"/>
      <c r="F46" s="37"/>
      <c r="G46" s="38"/>
      <c r="H46" s="38"/>
      <c r="I46" s="120"/>
    </row>
    <row r="47" s="21" customFormat="1" spans="1:9">
      <c r="A47" s="111"/>
      <c r="B47" s="37"/>
      <c r="C47" s="37"/>
      <c r="D47" s="37"/>
      <c r="E47" s="37"/>
      <c r="F47" s="37"/>
      <c r="G47" s="38"/>
      <c r="H47" s="38"/>
      <c r="I47" s="120"/>
    </row>
    <row r="48" s="21" customFormat="1" spans="1:9">
      <c r="A48" s="111"/>
      <c r="B48" s="37"/>
      <c r="C48" s="37"/>
      <c r="D48" s="37"/>
      <c r="E48" s="37"/>
      <c r="F48" s="37"/>
      <c r="G48" s="38"/>
      <c r="H48" s="38"/>
      <c r="I48" s="120"/>
    </row>
    <row r="49" s="21" customFormat="1" spans="1:9">
      <c r="A49" s="111"/>
      <c r="B49" s="37"/>
      <c r="C49" s="37"/>
      <c r="D49" s="37"/>
      <c r="E49" s="37"/>
      <c r="F49" s="37"/>
      <c r="G49" s="38"/>
      <c r="H49" s="38"/>
      <c r="I49" s="120"/>
    </row>
    <row r="50" s="21" customFormat="1" spans="1:9">
      <c r="A50" s="111"/>
      <c r="B50" s="37"/>
      <c r="C50" s="37"/>
      <c r="D50" s="37"/>
      <c r="E50" s="37"/>
      <c r="F50" s="37"/>
      <c r="G50" s="38"/>
      <c r="H50" s="38"/>
      <c r="I50" s="120"/>
    </row>
    <row r="51" s="21" customFormat="1" spans="1:9">
      <c r="A51" s="111"/>
      <c r="B51" s="37"/>
      <c r="C51" s="37"/>
      <c r="D51" s="37"/>
      <c r="E51" s="37"/>
      <c r="F51" s="37"/>
      <c r="G51" s="38"/>
      <c r="H51" s="38"/>
      <c r="I51" s="120"/>
    </row>
    <row r="52" s="21" customFormat="1" spans="1:9">
      <c r="A52" s="111"/>
      <c r="B52" s="37"/>
      <c r="C52" s="37"/>
      <c r="D52" s="37"/>
      <c r="E52" s="37"/>
      <c r="F52" s="37"/>
      <c r="G52" s="38"/>
      <c r="H52" s="38"/>
      <c r="I52" s="120"/>
    </row>
    <row r="53" s="21" customFormat="1" spans="1:9">
      <c r="A53" s="111"/>
      <c r="B53" s="37"/>
      <c r="C53" s="37"/>
      <c r="D53" s="37"/>
      <c r="E53" s="37"/>
      <c r="F53" s="37"/>
      <c r="G53" s="38"/>
      <c r="H53" s="38"/>
      <c r="I53" s="120"/>
    </row>
    <row r="54" s="21" customFormat="1" spans="1:9">
      <c r="A54" s="111"/>
      <c r="B54" s="37"/>
      <c r="C54" s="37"/>
      <c r="D54" s="37"/>
      <c r="E54" s="37"/>
      <c r="F54" s="37"/>
      <c r="G54" s="38"/>
      <c r="H54" s="38"/>
      <c r="I54" s="120"/>
    </row>
    <row r="55" s="21" customFormat="1" spans="1:9">
      <c r="A55" s="111"/>
      <c r="B55" s="37"/>
      <c r="C55" s="37"/>
      <c r="D55" s="37"/>
      <c r="E55" s="37"/>
      <c r="F55" s="37"/>
      <c r="G55" s="38"/>
      <c r="H55" s="38"/>
      <c r="I55" s="120"/>
    </row>
    <row r="56" s="21" customFormat="1" spans="1:9">
      <c r="A56" s="111"/>
      <c r="B56" s="37"/>
      <c r="C56" s="37"/>
      <c r="D56" s="37"/>
      <c r="E56" s="37"/>
      <c r="F56" s="37"/>
      <c r="G56" s="38"/>
      <c r="H56" s="38"/>
      <c r="I56" s="120"/>
    </row>
    <row r="57" s="21" customFormat="1" spans="1:9">
      <c r="A57" s="111"/>
      <c r="B57" s="37"/>
      <c r="C57" s="37"/>
      <c r="D57" s="37"/>
      <c r="E57" s="37"/>
      <c r="F57" s="37"/>
      <c r="G57" s="38"/>
      <c r="H57" s="38"/>
      <c r="I57" s="120"/>
    </row>
    <row r="58" s="21" customFormat="1" spans="1:9">
      <c r="A58" s="111"/>
      <c r="B58" s="37"/>
      <c r="C58" s="37"/>
      <c r="D58" s="37"/>
      <c r="E58" s="37"/>
      <c r="F58" s="37"/>
      <c r="G58" s="38"/>
      <c r="H58" s="38"/>
      <c r="I58" s="120"/>
    </row>
    <row r="59" s="21" customFormat="1" spans="1:9">
      <c r="A59" s="111"/>
      <c r="B59" s="22"/>
      <c r="C59" s="22"/>
      <c r="D59" s="22"/>
      <c r="E59" s="22"/>
      <c r="F59" s="22"/>
      <c r="I59" s="120"/>
    </row>
    <row r="60" s="21" customFormat="1" spans="1:9">
      <c r="A60" s="111"/>
      <c r="B60" s="22"/>
      <c r="C60" s="22"/>
      <c r="D60" s="22"/>
      <c r="E60" s="22"/>
      <c r="F60" s="22"/>
      <c r="I60" s="120"/>
    </row>
    <row r="61" s="21" customFormat="1" spans="1:9">
      <c r="A61" s="111"/>
      <c r="B61" s="22"/>
      <c r="C61" s="22"/>
      <c r="D61" s="22"/>
      <c r="E61" s="22"/>
      <c r="F61" s="22"/>
      <c r="I61" s="120"/>
    </row>
    <row r="62" s="21" customFormat="1" spans="1:9">
      <c r="A62" s="61"/>
      <c r="B62" s="22"/>
      <c r="C62" s="22"/>
      <c r="D62" s="22"/>
      <c r="E62" s="22"/>
      <c r="F62" s="22"/>
      <c r="I62" s="120"/>
    </row>
    <row r="63" s="21" customFormat="1" spans="1:9">
      <c r="A63" s="61"/>
      <c r="B63" s="22"/>
      <c r="C63" s="22"/>
      <c r="D63" s="22"/>
      <c r="E63" s="22"/>
      <c r="F63" s="22"/>
      <c r="I63" s="120"/>
    </row>
    <row r="64" s="21" customFormat="1" spans="1:9">
      <c r="A64" s="61"/>
      <c r="B64" s="22"/>
      <c r="C64" s="22"/>
      <c r="D64" s="22"/>
      <c r="E64" s="22"/>
      <c r="F64" s="22"/>
      <c r="I64" s="120"/>
    </row>
    <row r="65" s="21" customFormat="1" spans="1:9">
      <c r="A65" s="61"/>
      <c r="B65" s="22"/>
      <c r="C65" s="22"/>
      <c r="D65" s="22"/>
      <c r="E65" s="22"/>
      <c r="F65" s="22"/>
      <c r="I65" s="120"/>
    </row>
    <row r="66" s="21" customFormat="1" spans="1:9">
      <c r="A66" s="61"/>
      <c r="B66" s="22"/>
      <c r="C66" s="22"/>
      <c r="D66" s="22"/>
      <c r="E66" s="22"/>
      <c r="F66" s="22"/>
      <c r="I66" s="120"/>
    </row>
    <row r="67" s="21" customFormat="1" spans="1:9">
      <c r="A67" s="61"/>
      <c r="B67" s="22"/>
      <c r="C67" s="22"/>
      <c r="D67" s="22"/>
      <c r="E67" s="22"/>
      <c r="F67" s="22"/>
      <c r="I67" s="120"/>
    </row>
    <row r="68" s="21" customFormat="1" spans="1:9">
      <c r="A68" s="61"/>
      <c r="B68" s="22"/>
      <c r="C68" s="22"/>
      <c r="D68" s="22"/>
      <c r="E68" s="22"/>
      <c r="F68" s="22"/>
      <c r="I68" s="120"/>
    </row>
    <row r="69" s="21" customFormat="1" spans="1:9">
      <c r="A69" s="61"/>
      <c r="B69" s="22"/>
      <c r="C69" s="22"/>
      <c r="D69" s="22"/>
      <c r="E69" s="22"/>
      <c r="F69" s="22"/>
      <c r="I69" s="120"/>
    </row>
    <row r="70" s="21" customFormat="1" spans="1:9">
      <c r="A70" s="61"/>
      <c r="I70" s="120"/>
    </row>
    <row r="71" s="21" customFormat="1" spans="1:9">
      <c r="A71" s="61"/>
      <c r="I71" s="120"/>
    </row>
    <row r="72" s="21" customFormat="1" spans="1:9">
      <c r="A72" s="61"/>
      <c r="I72" s="120"/>
    </row>
    <row r="73" hidden="1"/>
    <row r="74" hidden="1"/>
    <row r="75" hidden="1"/>
  </sheetData>
  <mergeCells count="2">
    <mergeCell ref="A1:I1"/>
    <mergeCell ref="B38:I38"/>
  </mergeCells>
  <pageMargins left="0.7" right="0.7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0"/>
  <sheetViews>
    <sheetView zoomScale="55" zoomScaleNormal="55" workbookViewId="0">
      <selection activeCell="G8" sqref="F3:G8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2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118" t="s">
        <v>155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27" t="s">
        <v>156</v>
      </c>
      <c r="C3" s="27">
        <v>24</v>
      </c>
      <c r="D3" s="27" t="s">
        <v>157</v>
      </c>
      <c r="E3" s="27" t="s">
        <v>158</v>
      </c>
      <c r="F3" s="27"/>
      <c r="G3" s="27"/>
      <c r="H3" s="30" t="str">
        <f>_xlfn.DISPIMG("ID_768B1C4A0F4744E2B30ECBEAFA6A89CC",1)</f>
        <v>=DISPIMG("ID_768B1C4A0F4744E2B30ECBEAFA6A89CC",1)</v>
      </c>
      <c r="I3" s="41" t="s">
        <v>39</v>
      </c>
    </row>
    <row r="4" s="21" customFormat="1" ht="84" customHeight="1" spans="1:9">
      <c r="A4" s="27">
        <v>2</v>
      </c>
      <c r="B4" s="27" t="s">
        <v>159</v>
      </c>
      <c r="C4" s="27">
        <v>36</v>
      </c>
      <c r="D4" s="27" t="s">
        <v>157</v>
      </c>
      <c r="E4" s="27" t="s">
        <v>158</v>
      </c>
      <c r="F4" s="27"/>
      <c r="G4" s="27"/>
      <c r="H4" s="30" t="str">
        <f>_xlfn.DISPIMG("ID_79AA636766D24D45B73802825D9D01F1",1)</f>
        <v>=DISPIMG("ID_79AA636766D24D45B73802825D9D01F1",1)</v>
      </c>
      <c r="I4" s="41" t="s">
        <v>85</v>
      </c>
    </row>
    <row r="5" s="21" customFormat="1" ht="84" customHeight="1" spans="1:9">
      <c r="A5" s="27">
        <v>3</v>
      </c>
      <c r="B5" s="27" t="s">
        <v>160</v>
      </c>
      <c r="C5" s="27">
        <v>1</v>
      </c>
      <c r="D5" s="27" t="s">
        <v>157</v>
      </c>
      <c r="E5" s="27" t="s">
        <v>158</v>
      </c>
      <c r="F5" s="27"/>
      <c r="G5" s="27"/>
      <c r="H5" s="30" t="str">
        <f>_xlfn.DISPIMG("ID_906EC4DAF24C4E349F634DE5D36E280E",1)</f>
        <v>=DISPIMG("ID_906EC4DAF24C4E349F634DE5D36E280E",1)</v>
      </c>
      <c r="I5" s="41" t="s">
        <v>85</v>
      </c>
    </row>
    <row r="6" s="21" customFormat="1" ht="84" customHeight="1" spans="1:9">
      <c r="A6" s="27">
        <v>4</v>
      </c>
      <c r="B6" s="27" t="s">
        <v>50</v>
      </c>
      <c r="C6" s="27">
        <v>15</v>
      </c>
      <c r="D6" s="63" t="s">
        <v>161</v>
      </c>
      <c r="E6" s="27" t="s">
        <v>158</v>
      </c>
      <c r="F6" s="27"/>
      <c r="G6" s="27"/>
      <c r="H6" s="30"/>
      <c r="I6" s="41" t="s">
        <v>85</v>
      </c>
    </row>
    <row r="7" s="21" customFormat="1" ht="84" customHeight="1" spans="1:9">
      <c r="A7" s="27">
        <v>5</v>
      </c>
      <c r="B7" s="27" t="s">
        <v>162</v>
      </c>
      <c r="C7" s="27">
        <v>10</v>
      </c>
      <c r="D7" s="63" t="s">
        <v>163</v>
      </c>
      <c r="E7" s="27" t="s">
        <v>158</v>
      </c>
      <c r="F7" s="27"/>
      <c r="G7" s="27"/>
      <c r="H7" s="30" t="str">
        <f>_xlfn.DISPIMG("ID_575D420698C24647939F2637DCDFF0AB",1)</f>
        <v>=DISPIMG("ID_575D420698C24647939F2637DCDFF0AB",1)</v>
      </c>
      <c r="I7" s="41" t="s">
        <v>85</v>
      </c>
    </row>
    <row r="8" s="21" customFormat="1" ht="84" customHeight="1" spans="1:9">
      <c r="A8" s="27">
        <v>6</v>
      </c>
      <c r="B8" s="27" t="s">
        <v>164</v>
      </c>
      <c r="C8" s="27">
        <v>22</v>
      </c>
      <c r="D8" s="27" t="s">
        <v>157</v>
      </c>
      <c r="E8" s="27" t="s">
        <v>158</v>
      </c>
      <c r="F8" s="27"/>
      <c r="G8" s="27"/>
      <c r="H8" s="30" t="str">
        <f>_xlfn.DISPIMG("ID_B60A302EEFE9419280169F740CC5E195",1)</f>
        <v>=DISPIMG("ID_B60A302EEFE9419280169F740CC5E195",1)</v>
      </c>
      <c r="I8" s="41" t="s">
        <v>85</v>
      </c>
    </row>
    <row r="9" s="21" customFormat="1" ht="25" customHeight="1" spans="1:9">
      <c r="A9" s="26" t="s">
        <v>86</v>
      </c>
      <c r="B9" s="35"/>
      <c r="C9" s="36"/>
      <c r="D9" s="36"/>
      <c r="E9" s="36"/>
      <c r="F9" s="36"/>
      <c r="G9" s="36"/>
      <c r="H9" s="36"/>
      <c r="I9" s="45"/>
    </row>
    <row r="10" s="21" customFormat="1" spans="1:9">
      <c r="A10" s="37"/>
      <c r="B10" s="37"/>
      <c r="C10" s="37"/>
      <c r="D10" s="37"/>
      <c r="E10" s="37"/>
      <c r="F10" s="37"/>
      <c r="G10" s="37"/>
      <c r="H10" s="38"/>
      <c r="I10" s="23"/>
    </row>
    <row r="11" s="21" customFormat="1" spans="1:9">
      <c r="A11" s="37"/>
      <c r="B11" s="37"/>
      <c r="C11" s="37"/>
      <c r="D11" s="37"/>
      <c r="E11" s="37"/>
      <c r="F11" s="37"/>
      <c r="G11" s="37"/>
      <c r="H11" s="38"/>
      <c r="I11" s="23"/>
    </row>
    <row r="12" s="21" customFormat="1" spans="1:9">
      <c r="A12" s="37"/>
      <c r="B12" s="37"/>
      <c r="C12" s="37"/>
      <c r="D12" s="37"/>
      <c r="E12" s="37"/>
      <c r="F12" s="37"/>
      <c r="G12" s="37"/>
      <c r="H12" s="38"/>
      <c r="I12" s="23"/>
    </row>
    <row r="13" s="21" customFormat="1" spans="1:9">
      <c r="A13" s="37"/>
      <c r="B13" s="37"/>
      <c r="C13" s="37"/>
      <c r="D13" s="37"/>
      <c r="E13" s="37"/>
      <c r="F13" s="37"/>
      <c r="G13" s="37"/>
      <c r="H13" s="38"/>
      <c r="I13" s="23"/>
    </row>
    <row r="14" s="21" customFormat="1" spans="1:9">
      <c r="A14" s="37"/>
      <c r="B14" s="37"/>
      <c r="C14" s="37"/>
      <c r="D14" s="37"/>
      <c r="E14" s="37"/>
      <c r="F14" s="37"/>
      <c r="G14" s="37"/>
      <c r="H14" s="38"/>
      <c r="I14" s="23"/>
    </row>
    <row r="15" s="21" customFormat="1" spans="1:9">
      <c r="A15" s="37"/>
      <c r="B15" s="37"/>
      <c r="C15" s="37"/>
      <c r="D15" s="37"/>
      <c r="E15" s="37"/>
      <c r="F15" s="37"/>
      <c r="G15" s="37"/>
      <c r="H15" s="38"/>
      <c r="I15" s="23"/>
    </row>
    <row r="16" s="21" customFormat="1" spans="1:9">
      <c r="A16" s="37"/>
      <c r="B16" s="37"/>
      <c r="C16" s="37"/>
      <c r="D16" s="37"/>
      <c r="E16" s="37"/>
      <c r="F16" s="37"/>
      <c r="G16" s="37"/>
      <c r="H16" s="38"/>
      <c r="I16" s="23"/>
    </row>
    <row r="17" s="21" customFormat="1" spans="1:9">
      <c r="A17" s="37"/>
      <c r="B17" s="37"/>
      <c r="C17" s="37"/>
      <c r="D17" s="37"/>
      <c r="E17" s="37"/>
      <c r="F17" s="37"/>
      <c r="G17" s="37"/>
      <c r="H17" s="38"/>
      <c r="I17" s="23"/>
    </row>
    <row r="18" s="21" customFormat="1" spans="1:9">
      <c r="A18" s="37"/>
      <c r="B18" s="37"/>
      <c r="C18" s="37"/>
      <c r="D18" s="37"/>
      <c r="E18" s="37"/>
      <c r="F18" s="37"/>
      <c r="G18" s="37"/>
      <c r="H18" s="38"/>
      <c r="I18" s="23"/>
    </row>
    <row r="19" s="21" customFormat="1" spans="1:9">
      <c r="A19" s="37"/>
      <c r="B19" s="37"/>
      <c r="C19" s="37"/>
      <c r="D19" s="37"/>
      <c r="E19" s="37"/>
      <c r="F19" s="37"/>
      <c r="G19" s="37"/>
      <c r="H19" s="38"/>
      <c r="I19" s="23"/>
    </row>
    <row r="20" s="21" customFormat="1" spans="1:9">
      <c r="A20" s="37"/>
      <c r="B20" s="37"/>
      <c r="C20" s="37"/>
      <c r="D20" s="37"/>
      <c r="E20" s="37"/>
      <c r="F20" s="37"/>
      <c r="G20" s="37"/>
      <c r="H20" s="38"/>
      <c r="I20" s="23"/>
    </row>
    <row r="21" s="21" customFormat="1" spans="1:9">
      <c r="A21" s="37"/>
      <c r="B21" s="37"/>
      <c r="C21" s="37"/>
      <c r="D21" s="37"/>
      <c r="E21" s="37"/>
      <c r="F21" s="37"/>
      <c r="G21" s="37"/>
      <c r="H21" s="38"/>
      <c r="I21" s="23"/>
    </row>
    <row r="22" s="21" customFormat="1" spans="1:9">
      <c r="A22" s="37"/>
      <c r="B22" s="37"/>
      <c r="C22" s="37"/>
      <c r="D22" s="37"/>
      <c r="E22" s="37"/>
      <c r="F22" s="37"/>
      <c r="G22" s="37"/>
      <c r="H22" s="38"/>
      <c r="I22" s="23"/>
    </row>
    <row r="23" s="21" customFormat="1" spans="1:9">
      <c r="A23" s="37"/>
      <c r="B23" s="37"/>
      <c r="C23" s="37"/>
      <c r="D23" s="37"/>
      <c r="E23" s="37"/>
      <c r="F23" s="37"/>
      <c r="G23" s="37"/>
      <c r="H23" s="38"/>
      <c r="I23" s="23"/>
    </row>
    <row r="24" s="21" customFormat="1" spans="1:9">
      <c r="A24" s="37"/>
      <c r="B24" s="37"/>
      <c r="C24" s="37"/>
      <c r="D24" s="37"/>
      <c r="E24" s="37"/>
      <c r="F24" s="37"/>
      <c r="G24" s="37"/>
      <c r="H24" s="38"/>
      <c r="I24" s="23"/>
    </row>
    <row r="25" s="21" customFormat="1" spans="1:9">
      <c r="A25" s="37"/>
      <c r="B25" s="37"/>
      <c r="C25" s="37"/>
      <c r="D25" s="37"/>
      <c r="E25" s="37"/>
      <c r="F25" s="37"/>
      <c r="G25" s="37"/>
      <c r="H25" s="38"/>
      <c r="I25" s="23"/>
    </row>
    <row r="26" s="21" customFormat="1" spans="1:9">
      <c r="A26" s="37"/>
      <c r="B26" s="37"/>
      <c r="C26" s="37"/>
      <c r="D26" s="37"/>
      <c r="E26" s="37"/>
      <c r="F26" s="37"/>
      <c r="G26" s="37"/>
      <c r="H26" s="38"/>
      <c r="I26" s="23"/>
    </row>
    <row r="27" s="21" customFormat="1" spans="1:9">
      <c r="A27" s="37"/>
      <c r="B27" s="37"/>
      <c r="C27" s="37"/>
      <c r="D27" s="37"/>
      <c r="E27" s="37"/>
      <c r="F27" s="37"/>
      <c r="G27" s="37"/>
      <c r="H27" s="38"/>
      <c r="I27" s="23"/>
    </row>
    <row r="28" s="21" customFormat="1" spans="1:9">
      <c r="A28" s="37"/>
      <c r="B28" s="37"/>
      <c r="C28" s="37"/>
      <c r="D28" s="37"/>
      <c r="E28" s="37"/>
      <c r="F28" s="37"/>
      <c r="G28" s="37"/>
      <c r="H28" s="38"/>
      <c r="I28" s="23"/>
    </row>
    <row r="29" s="21" customFormat="1" spans="1:9">
      <c r="A29" s="37"/>
      <c r="B29" s="37"/>
      <c r="C29" s="37"/>
      <c r="D29" s="37"/>
      <c r="E29" s="37"/>
      <c r="F29" s="37"/>
      <c r="G29" s="37"/>
      <c r="H29" s="38"/>
      <c r="I29" s="23"/>
    </row>
    <row r="30" s="21" customFormat="1" spans="1:9">
      <c r="A30" s="22"/>
      <c r="B30" s="22"/>
      <c r="C30" s="22"/>
      <c r="D30" s="22"/>
      <c r="E30" s="22"/>
      <c r="F30" s="22"/>
      <c r="G30" s="22"/>
      <c r="I30" s="23"/>
    </row>
    <row r="31" s="21" customFormat="1" spans="1:9">
      <c r="A31" s="22"/>
      <c r="B31" s="22"/>
      <c r="C31" s="22"/>
      <c r="D31" s="22"/>
      <c r="E31" s="22"/>
      <c r="F31" s="22"/>
      <c r="G31" s="22"/>
      <c r="I31" s="23"/>
    </row>
    <row r="32" s="21" customFormat="1" spans="1:9">
      <c r="A32" s="22"/>
      <c r="B32" s="22"/>
      <c r="C32" s="22"/>
      <c r="D32" s="22"/>
      <c r="E32" s="22"/>
      <c r="F32" s="22"/>
      <c r="G32" s="22"/>
      <c r="I32" s="23"/>
    </row>
    <row r="33" s="21" customFormat="1" spans="1:9">
      <c r="A33" s="22"/>
      <c r="B33" s="22"/>
      <c r="C33" s="22"/>
      <c r="D33" s="22"/>
      <c r="E33" s="22"/>
      <c r="F33" s="22"/>
      <c r="G33" s="22"/>
      <c r="I33" s="23"/>
    </row>
    <row r="34" s="21" customFormat="1" spans="1:9">
      <c r="A34" s="22"/>
      <c r="B34" s="22"/>
      <c r="C34" s="22"/>
      <c r="D34" s="22"/>
      <c r="E34" s="22"/>
      <c r="F34" s="22"/>
      <c r="G34" s="22"/>
      <c r="I34" s="23"/>
    </row>
    <row r="35" s="21" customFormat="1" spans="1:9">
      <c r="A35" s="22"/>
      <c r="B35" s="22"/>
      <c r="C35" s="22"/>
      <c r="D35" s="22"/>
      <c r="E35" s="22"/>
      <c r="F35" s="22"/>
      <c r="G35" s="22"/>
      <c r="I35" s="23"/>
    </row>
    <row r="36" s="21" customFormat="1" spans="1:9">
      <c r="A36" s="22"/>
      <c r="B36" s="22"/>
      <c r="C36" s="22"/>
      <c r="D36" s="22"/>
      <c r="E36" s="22"/>
      <c r="F36" s="22"/>
      <c r="G36" s="22"/>
      <c r="I36" s="23"/>
    </row>
    <row r="37" s="21" customFormat="1" spans="1:9">
      <c r="A37" s="22"/>
      <c r="B37" s="22"/>
      <c r="C37" s="22"/>
      <c r="D37" s="22"/>
      <c r="E37" s="22"/>
      <c r="F37" s="22"/>
      <c r="G37" s="22"/>
      <c r="I37" s="23"/>
    </row>
    <row r="38" s="21" customFormat="1" spans="1:9">
      <c r="A38" s="22"/>
      <c r="B38" s="22"/>
      <c r="C38" s="22"/>
      <c r="D38" s="22"/>
      <c r="E38" s="22"/>
      <c r="F38" s="22"/>
      <c r="G38" s="22"/>
      <c r="I38" s="23"/>
    </row>
    <row r="39" s="21" customFormat="1" spans="1:9">
      <c r="A39" s="22"/>
      <c r="B39" s="22"/>
      <c r="C39" s="22"/>
      <c r="D39" s="22"/>
      <c r="E39" s="22"/>
      <c r="F39" s="22"/>
      <c r="G39" s="22"/>
      <c r="I39" s="23"/>
    </row>
    <row r="40" s="21" customFormat="1" spans="1:9">
      <c r="A40" s="22"/>
      <c r="B40" s="22"/>
      <c r="C40" s="22"/>
      <c r="D40" s="22"/>
      <c r="E40" s="22"/>
      <c r="F40" s="22"/>
      <c r="G40" s="22"/>
      <c r="I40" s="23"/>
    </row>
  </sheetData>
  <mergeCells count="2">
    <mergeCell ref="A1:I1"/>
    <mergeCell ref="B9:I9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2"/>
  <sheetViews>
    <sheetView zoomScale="70" zoomScaleNormal="70" topLeftCell="A4" workbookViewId="0">
      <selection activeCell="G10" sqref="F3:G10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1" customWidth="1"/>
    <col min="8" max="8" width="26.8761061946903" style="21" customWidth="1"/>
    <col min="9" max="9" width="16.3805309734513" style="21" customWidth="1"/>
    <col min="10" max="16384" width="9" style="21"/>
  </cols>
  <sheetData>
    <row r="1" s="21" customFormat="1" ht="31" customHeight="1" spans="1:9">
      <c r="A1" s="47" t="s">
        <v>165</v>
      </c>
      <c r="B1" s="25"/>
      <c r="C1" s="25"/>
      <c r="D1" s="25"/>
      <c r="E1" s="25"/>
      <c r="F1" s="25"/>
      <c r="G1" s="25"/>
      <c r="H1" s="25"/>
      <c r="I1" s="25"/>
    </row>
    <row r="2" s="21" customFormat="1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26" t="s">
        <v>31</v>
      </c>
    </row>
    <row r="3" s="21" customFormat="1" ht="47.25" spans="1:9">
      <c r="A3" s="66">
        <v>1</v>
      </c>
      <c r="B3" s="116" t="s">
        <v>166</v>
      </c>
      <c r="C3" s="27">
        <v>1</v>
      </c>
      <c r="D3" s="27" t="s">
        <v>167</v>
      </c>
      <c r="E3" s="116" t="s">
        <v>168</v>
      </c>
      <c r="F3" s="27"/>
      <c r="G3" s="27"/>
      <c r="H3" s="66" t="str">
        <f>_xlfn.DISPIMG("ID_00C40B495FB743F4A84AD10F032F5ECC",1)</f>
        <v>=DISPIMG("ID_00C40B495FB743F4A84AD10F032F5ECC",1)</v>
      </c>
      <c r="I3" s="42" t="s">
        <v>169</v>
      </c>
    </row>
    <row r="4" s="21" customFormat="1" ht="47.25" spans="1:9">
      <c r="A4" s="66">
        <v>2</v>
      </c>
      <c r="B4" s="116" t="s">
        <v>166</v>
      </c>
      <c r="C4" s="27">
        <v>1</v>
      </c>
      <c r="D4" s="27" t="s">
        <v>167</v>
      </c>
      <c r="E4" s="116" t="s">
        <v>170</v>
      </c>
      <c r="F4" s="27"/>
      <c r="G4" s="27"/>
      <c r="H4" s="117"/>
      <c r="I4" s="43"/>
    </row>
    <row r="5" s="21" customFormat="1" ht="47.25" spans="1:9">
      <c r="A5" s="66">
        <v>3</v>
      </c>
      <c r="B5" s="116" t="s">
        <v>171</v>
      </c>
      <c r="C5" s="27">
        <v>1</v>
      </c>
      <c r="D5" s="27" t="s">
        <v>167</v>
      </c>
      <c r="E5" s="116" t="s">
        <v>172</v>
      </c>
      <c r="F5" s="27"/>
      <c r="G5" s="27"/>
      <c r="H5" s="117"/>
      <c r="I5" s="43"/>
    </row>
    <row r="6" s="21" customFormat="1" ht="47.25" spans="1:9">
      <c r="A6" s="66">
        <v>4</v>
      </c>
      <c r="B6" s="116" t="s">
        <v>173</v>
      </c>
      <c r="C6" s="27">
        <v>1</v>
      </c>
      <c r="D6" s="27" t="s">
        <v>167</v>
      </c>
      <c r="E6" s="116" t="s">
        <v>174</v>
      </c>
      <c r="F6" s="27"/>
      <c r="G6" s="27"/>
      <c r="H6" s="117"/>
      <c r="I6" s="43"/>
    </row>
    <row r="7" s="21" customFormat="1" ht="47.25" spans="1:9">
      <c r="A7" s="66">
        <v>5</v>
      </c>
      <c r="B7" s="116" t="s">
        <v>175</v>
      </c>
      <c r="C7" s="27">
        <v>1</v>
      </c>
      <c r="D7" s="27" t="s">
        <v>167</v>
      </c>
      <c r="E7" s="116" t="s">
        <v>176</v>
      </c>
      <c r="F7" s="27"/>
      <c r="G7" s="27"/>
      <c r="H7" s="117"/>
      <c r="I7" s="43"/>
    </row>
    <row r="8" s="21" customFormat="1" ht="47.25" spans="1:9">
      <c r="A8" s="66">
        <v>6</v>
      </c>
      <c r="B8" s="116" t="s">
        <v>177</v>
      </c>
      <c r="C8" s="27">
        <v>1</v>
      </c>
      <c r="D8" s="27" t="s">
        <v>167</v>
      </c>
      <c r="E8" s="116" t="s">
        <v>178</v>
      </c>
      <c r="F8" s="27"/>
      <c r="G8" s="27"/>
      <c r="H8" s="117"/>
      <c r="I8" s="43"/>
    </row>
    <row r="9" s="21" customFormat="1" ht="42" customHeight="1" spans="1:9">
      <c r="A9" s="66">
        <v>7</v>
      </c>
      <c r="B9" s="116" t="s">
        <v>177</v>
      </c>
      <c r="C9" s="27">
        <v>1</v>
      </c>
      <c r="D9" s="27" t="s">
        <v>167</v>
      </c>
      <c r="E9" s="116" t="s">
        <v>179</v>
      </c>
      <c r="F9" s="27"/>
      <c r="G9" s="27"/>
      <c r="H9" s="117"/>
      <c r="I9" s="43"/>
    </row>
    <row r="10" s="21" customFormat="1" ht="42" customHeight="1" spans="1:9">
      <c r="A10" s="66">
        <v>8</v>
      </c>
      <c r="B10" s="116" t="s">
        <v>180</v>
      </c>
      <c r="C10" s="27">
        <v>1</v>
      </c>
      <c r="D10" s="27" t="s">
        <v>167</v>
      </c>
      <c r="E10" s="116" t="s">
        <v>181</v>
      </c>
      <c r="F10" s="27"/>
      <c r="G10" s="27"/>
      <c r="H10" s="117"/>
      <c r="I10" s="44"/>
    </row>
    <row r="11" s="21" customFormat="1" ht="25" customHeight="1" spans="1:9">
      <c r="A11" s="26" t="s">
        <v>86</v>
      </c>
      <c r="B11" s="35"/>
      <c r="C11" s="36"/>
      <c r="D11" s="36"/>
      <c r="E11" s="36"/>
      <c r="F11" s="36"/>
      <c r="G11" s="36"/>
      <c r="H11" s="36"/>
      <c r="I11" s="68"/>
    </row>
    <row r="12" s="21" customFormat="1" spans="1:8">
      <c r="A12" s="37"/>
      <c r="B12" s="37"/>
      <c r="C12" s="37"/>
      <c r="D12" s="37"/>
      <c r="E12" s="37"/>
      <c r="F12" s="37"/>
      <c r="G12" s="38"/>
      <c r="H12" s="38"/>
    </row>
    <row r="13" s="21" customFormat="1" spans="1:8">
      <c r="A13" s="37"/>
      <c r="B13" s="37"/>
      <c r="C13" s="37"/>
      <c r="D13" s="37"/>
      <c r="E13" s="37"/>
      <c r="F13" s="37"/>
      <c r="G13" s="38"/>
      <c r="H13" s="38"/>
    </row>
    <row r="14" s="21" customFormat="1" spans="1:8">
      <c r="A14" s="37"/>
      <c r="B14" s="37"/>
      <c r="C14" s="37"/>
      <c r="D14" s="37"/>
      <c r="E14" s="37"/>
      <c r="F14" s="37"/>
      <c r="G14" s="38"/>
      <c r="H14" s="38"/>
    </row>
    <row r="15" s="21" customFormat="1" spans="1:8">
      <c r="A15" s="37"/>
      <c r="B15" s="37"/>
      <c r="C15" s="37"/>
      <c r="D15" s="37"/>
      <c r="E15" s="37"/>
      <c r="F15" s="37"/>
      <c r="G15" s="38"/>
      <c r="H15" s="38"/>
    </row>
    <row r="16" s="21" customFormat="1" spans="1:8">
      <c r="A16" s="37"/>
      <c r="B16" s="37"/>
      <c r="C16" s="37"/>
      <c r="D16" s="37"/>
      <c r="E16" s="37"/>
      <c r="F16" s="37"/>
      <c r="G16" s="38"/>
      <c r="H16" s="38"/>
    </row>
    <row r="17" s="21" customFormat="1" spans="1:8">
      <c r="A17" s="37"/>
      <c r="B17" s="37"/>
      <c r="C17" s="37"/>
      <c r="D17" s="37"/>
      <c r="E17" s="37"/>
      <c r="F17" s="37"/>
      <c r="G17" s="38"/>
      <c r="H17" s="38"/>
    </row>
    <row r="18" s="21" customFormat="1" spans="1:8">
      <c r="A18" s="37"/>
      <c r="B18" s="37"/>
      <c r="C18" s="37"/>
      <c r="D18" s="37"/>
      <c r="E18" s="37"/>
      <c r="F18" s="37"/>
      <c r="G18" s="38"/>
      <c r="H18" s="38"/>
    </row>
    <row r="19" s="21" customFormat="1" spans="1:8">
      <c r="A19" s="37"/>
      <c r="B19" s="37"/>
      <c r="C19" s="37"/>
      <c r="D19" s="37"/>
      <c r="E19" s="37"/>
      <c r="F19" s="37"/>
      <c r="G19" s="38"/>
      <c r="H19" s="38"/>
    </row>
    <row r="20" s="21" customFormat="1" spans="1:8">
      <c r="A20" s="37"/>
      <c r="B20" s="37"/>
      <c r="C20" s="37"/>
      <c r="D20" s="37"/>
      <c r="E20" s="37"/>
      <c r="F20" s="37"/>
      <c r="G20" s="38"/>
      <c r="H20" s="38"/>
    </row>
    <row r="21" s="21" customFormat="1" spans="1:8">
      <c r="A21" s="37"/>
      <c r="B21" s="37"/>
      <c r="C21" s="37"/>
      <c r="D21" s="37"/>
      <c r="E21" s="37"/>
      <c r="F21" s="37"/>
      <c r="G21" s="38"/>
      <c r="H21" s="38"/>
    </row>
    <row r="22" s="21" customFormat="1" spans="1:8">
      <c r="A22" s="37"/>
      <c r="B22" s="37"/>
      <c r="C22" s="37"/>
      <c r="D22" s="37"/>
      <c r="E22" s="37"/>
      <c r="F22" s="37"/>
      <c r="G22" s="38"/>
      <c r="H22" s="38"/>
    </row>
    <row r="23" s="21" customFormat="1" spans="1:8">
      <c r="A23" s="37"/>
      <c r="B23" s="37"/>
      <c r="C23" s="37"/>
      <c r="D23" s="37"/>
      <c r="E23" s="37"/>
      <c r="F23" s="37"/>
      <c r="G23" s="38"/>
      <c r="H23" s="38"/>
    </row>
    <row r="24" s="21" customFormat="1" spans="1:8">
      <c r="A24" s="37"/>
      <c r="B24" s="37"/>
      <c r="C24" s="37"/>
      <c r="D24" s="37"/>
      <c r="E24" s="37"/>
      <c r="F24" s="37"/>
      <c r="G24" s="38"/>
      <c r="H24" s="38"/>
    </row>
    <row r="25" s="21" customFormat="1" spans="1:8">
      <c r="A25" s="37"/>
      <c r="B25" s="37"/>
      <c r="C25" s="37"/>
      <c r="D25" s="37"/>
      <c r="E25" s="37"/>
      <c r="F25" s="37"/>
      <c r="G25" s="38"/>
      <c r="H25" s="38"/>
    </row>
    <row r="26" s="21" customFormat="1" spans="1:8">
      <c r="A26" s="37"/>
      <c r="B26" s="37"/>
      <c r="C26" s="37"/>
      <c r="D26" s="37"/>
      <c r="E26" s="37"/>
      <c r="F26" s="37"/>
      <c r="G26" s="38"/>
      <c r="H26" s="38"/>
    </row>
    <row r="27" s="21" customFormat="1" spans="1:8">
      <c r="A27" s="37"/>
      <c r="B27" s="37"/>
      <c r="C27" s="37"/>
      <c r="D27" s="37"/>
      <c r="E27" s="37"/>
      <c r="F27" s="37"/>
      <c r="G27" s="38"/>
      <c r="H27" s="38"/>
    </row>
    <row r="28" s="21" customFormat="1" spans="1:8">
      <c r="A28" s="37"/>
      <c r="B28" s="37"/>
      <c r="C28" s="37"/>
      <c r="D28" s="37"/>
      <c r="E28" s="37"/>
      <c r="F28" s="37"/>
      <c r="G28" s="38"/>
      <c r="H28" s="38"/>
    </row>
    <row r="29" s="21" customFormat="1" spans="1:8">
      <c r="A29" s="37"/>
      <c r="B29" s="37"/>
      <c r="C29" s="37"/>
      <c r="D29" s="37"/>
      <c r="E29" s="37"/>
      <c r="F29" s="37"/>
      <c r="G29" s="38"/>
      <c r="H29" s="38"/>
    </row>
    <row r="30" s="21" customFormat="1" spans="1:8">
      <c r="A30" s="37"/>
      <c r="B30" s="37"/>
      <c r="C30" s="37"/>
      <c r="D30" s="37"/>
      <c r="E30" s="37"/>
      <c r="F30" s="37"/>
      <c r="G30" s="38"/>
      <c r="H30" s="38"/>
    </row>
    <row r="31" s="21" customFormat="1" spans="1:8">
      <c r="A31" s="37"/>
      <c r="B31" s="37"/>
      <c r="C31" s="37"/>
      <c r="D31" s="37"/>
      <c r="E31" s="37"/>
      <c r="F31" s="37"/>
      <c r="G31" s="38"/>
      <c r="H31" s="38"/>
    </row>
    <row r="32" s="21" customFormat="1" spans="1:6">
      <c r="A32" s="22"/>
      <c r="B32" s="22"/>
      <c r="C32" s="22"/>
      <c r="D32" s="22"/>
      <c r="E32" s="22"/>
      <c r="F32" s="22"/>
    </row>
    <row r="33" s="21" customFormat="1" spans="1:6">
      <c r="A33" s="22"/>
      <c r="B33" s="22"/>
      <c r="C33" s="22"/>
      <c r="D33" s="22"/>
      <c r="E33" s="22"/>
      <c r="F33" s="22"/>
    </row>
    <row r="34" s="21" customFormat="1" spans="1:6">
      <c r="A34" s="22"/>
      <c r="B34" s="22"/>
      <c r="C34" s="22"/>
      <c r="D34" s="22"/>
      <c r="E34" s="22"/>
      <c r="F34" s="22"/>
    </row>
    <row r="35" s="21" customFormat="1" spans="1:6">
      <c r="A35" s="22"/>
      <c r="B35" s="22"/>
      <c r="C35" s="22"/>
      <c r="D35" s="22"/>
      <c r="E35" s="22"/>
      <c r="F35" s="22"/>
    </row>
    <row r="36" s="21" customFormat="1" spans="1:6">
      <c r="A36" s="22"/>
      <c r="B36" s="22"/>
      <c r="C36" s="22"/>
      <c r="D36" s="22"/>
      <c r="E36" s="22"/>
      <c r="F36" s="22"/>
    </row>
    <row r="37" s="21" customFormat="1" spans="1:6">
      <c r="A37" s="22"/>
      <c r="B37" s="22"/>
      <c r="C37" s="22"/>
      <c r="D37" s="22"/>
      <c r="E37" s="22"/>
      <c r="F37" s="22"/>
    </row>
    <row r="38" s="21" customFormat="1" spans="1:6">
      <c r="A38" s="22"/>
      <c r="B38" s="22"/>
      <c r="C38" s="22"/>
      <c r="D38" s="22"/>
      <c r="E38" s="22"/>
      <c r="F38" s="22"/>
    </row>
    <row r="39" s="21" customFormat="1" spans="1:6">
      <c r="A39" s="22"/>
      <c r="B39" s="22"/>
      <c r="C39" s="22"/>
      <c r="D39" s="22"/>
      <c r="E39" s="22"/>
      <c r="F39" s="22"/>
    </row>
    <row r="40" s="21" customFormat="1" spans="1:6">
      <c r="A40" s="22"/>
      <c r="B40" s="22"/>
      <c r="C40" s="22"/>
      <c r="D40" s="22"/>
      <c r="E40" s="22"/>
      <c r="F40" s="22"/>
    </row>
    <row r="41" s="21" customFormat="1" spans="1:6">
      <c r="A41" s="22"/>
      <c r="B41" s="22"/>
      <c r="C41" s="22"/>
      <c r="D41" s="22"/>
      <c r="E41" s="22"/>
      <c r="F41" s="22"/>
    </row>
    <row r="42" s="21" customFormat="1" spans="1:6">
      <c r="A42" s="22"/>
      <c r="B42" s="22"/>
      <c r="C42" s="22"/>
      <c r="D42" s="22"/>
      <c r="E42" s="22"/>
      <c r="F42" s="22"/>
    </row>
  </sheetData>
  <mergeCells count="4">
    <mergeCell ref="A1:I1"/>
    <mergeCell ref="B11:I11"/>
    <mergeCell ref="H3:H10"/>
    <mergeCell ref="I3:I10"/>
  </mergeCells>
  <pageMargins left="0.75" right="0.75" top="1" bottom="1" header="0.5" footer="0.5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7"/>
  <sheetViews>
    <sheetView zoomScale="55" zoomScaleNormal="55" workbookViewId="0">
      <selection activeCell="G30" sqref="F3:G30"/>
    </sheetView>
  </sheetViews>
  <sheetFormatPr defaultColWidth="9" defaultRowHeight="17.6"/>
  <cols>
    <col min="1" max="1" width="11.1327433628319" style="46" customWidth="1"/>
    <col min="2" max="2" width="19.2477876106195" style="46" customWidth="1"/>
    <col min="3" max="3" width="12.8761061946903" style="46" customWidth="1"/>
    <col min="4" max="5" width="20.8761061946903" style="46" customWidth="1"/>
    <col min="6" max="6" width="19.6283185840708" style="46" customWidth="1"/>
    <col min="7" max="7" width="24.7522123893805" style="46" customWidth="1"/>
    <col min="8" max="8" width="26.8761061946903" style="46" customWidth="1"/>
    <col min="9" max="9" width="16.3805309734513" style="100" customWidth="1"/>
    <col min="10" max="16384" width="9" style="46"/>
  </cols>
  <sheetData>
    <row r="1" s="46" customFormat="1" ht="31" customHeight="1" spans="1:9">
      <c r="A1" s="101" t="s">
        <v>182</v>
      </c>
      <c r="B1" s="102"/>
      <c r="C1" s="102"/>
      <c r="D1" s="102"/>
      <c r="E1" s="102"/>
      <c r="F1" s="102"/>
      <c r="G1" s="102"/>
      <c r="H1" s="102"/>
      <c r="I1" s="113"/>
    </row>
    <row r="2" s="46" customFormat="1" ht="17.65" spans="1:9">
      <c r="A2" s="77" t="s">
        <v>1</v>
      </c>
      <c r="B2" s="77" t="s">
        <v>25</v>
      </c>
      <c r="C2" s="77" t="s">
        <v>3</v>
      </c>
      <c r="D2" s="77" t="s">
        <v>26</v>
      </c>
      <c r="E2" s="77" t="s">
        <v>27</v>
      </c>
      <c r="F2" s="77" t="s">
        <v>28</v>
      </c>
      <c r="G2" s="77" t="s">
        <v>29</v>
      </c>
      <c r="H2" s="77" t="s">
        <v>30</v>
      </c>
      <c r="I2" s="114" t="s">
        <v>31</v>
      </c>
    </row>
    <row r="3" s="46" customFormat="1" ht="84" customHeight="1" spans="1:9">
      <c r="A3" s="32">
        <v>1</v>
      </c>
      <c r="B3" s="103" t="s">
        <v>183</v>
      </c>
      <c r="C3" s="103">
        <v>1</v>
      </c>
      <c r="D3" s="103" t="s">
        <v>184</v>
      </c>
      <c r="E3" s="103" t="s">
        <v>185</v>
      </c>
      <c r="F3" s="103"/>
      <c r="G3" s="104"/>
      <c r="H3" s="105" t="str">
        <f>_xlfn.DISPIMG("ID_1C5ACD934799492F9299DC49F52967AD",1)</f>
        <v>=DISPIMG("ID_1C5ACD934799492F9299DC49F52967AD",1)</v>
      </c>
      <c r="I3" s="105" t="s">
        <v>54</v>
      </c>
    </row>
    <row r="4" s="46" customFormat="1" ht="84" customHeight="1" spans="1:9">
      <c r="A4" s="32">
        <v>2</v>
      </c>
      <c r="B4" s="103" t="s">
        <v>186</v>
      </c>
      <c r="C4" s="103">
        <v>3</v>
      </c>
      <c r="D4" s="103" t="s">
        <v>187</v>
      </c>
      <c r="E4" s="103" t="s">
        <v>188</v>
      </c>
      <c r="F4" s="103"/>
      <c r="G4" s="104"/>
      <c r="H4" s="105" t="str">
        <f>_xlfn.DISPIMG("ID_E1F70279333B419FA7D9515DEA6E62FB",1)</f>
        <v>=DISPIMG("ID_E1F70279333B419FA7D9515DEA6E62FB",1)</v>
      </c>
      <c r="I4" s="105" t="s">
        <v>189</v>
      </c>
    </row>
    <row r="5" s="46" customFormat="1" ht="84" customHeight="1" spans="1:9">
      <c r="A5" s="32">
        <v>3</v>
      </c>
      <c r="B5" s="103" t="s">
        <v>190</v>
      </c>
      <c r="C5" s="103">
        <v>1</v>
      </c>
      <c r="D5" s="103" t="s">
        <v>191</v>
      </c>
      <c r="E5" s="103" t="s">
        <v>185</v>
      </c>
      <c r="F5" s="103"/>
      <c r="G5" s="104"/>
      <c r="H5" s="103" t="str">
        <f>_xlfn.DISPIMG("ID_15A3DC2EE7AE4DB198B77EE7BA25682A",1)</f>
        <v>=DISPIMG("ID_15A3DC2EE7AE4DB198B77EE7BA25682A",1)</v>
      </c>
      <c r="I5" s="105" t="s">
        <v>189</v>
      </c>
    </row>
    <row r="6" s="46" customFormat="1" ht="84" customHeight="1" spans="1:9">
      <c r="A6" s="32">
        <v>4</v>
      </c>
      <c r="B6" s="103" t="s">
        <v>192</v>
      </c>
      <c r="C6" s="103">
        <v>1</v>
      </c>
      <c r="D6" s="103" t="s">
        <v>193</v>
      </c>
      <c r="E6" s="103" t="s">
        <v>185</v>
      </c>
      <c r="F6" s="103"/>
      <c r="G6" s="104"/>
      <c r="H6" s="103" t="str">
        <f>_xlfn.DISPIMG("ID_E0901AD0811A40C68EB746B0B5AAEC97",1)</f>
        <v>=DISPIMG("ID_E0901AD0811A40C68EB746B0B5AAEC97",1)</v>
      </c>
      <c r="I6" s="105" t="s">
        <v>189</v>
      </c>
    </row>
    <row r="7" s="46" customFormat="1" ht="84" customHeight="1" spans="1:9">
      <c r="A7" s="32">
        <v>5</v>
      </c>
      <c r="B7" s="103" t="s">
        <v>194</v>
      </c>
      <c r="C7" s="103">
        <v>3</v>
      </c>
      <c r="D7" s="103" t="s">
        <v>193</v>
      </c>
      <c r="E7" s="103" t="s">
        <v>195</v>
      </c>
      <c r="F7" s="103"/>
      <c r="G7" s="104"/>
      <c r="H7" s="105" t="str">
        <f>_xlfn.DISPIMG("ID_00A4F9DF39FF47F5A1CCED03D8FC6C4E",1)</f>
        <v>=DISPIMG("ID_00A4F9DF39FF47F5A1CCED03D8FC6C4E",1)</v>
      </c>
      <c r="I7" s="105" t="s">
        <v>189</v>
      </c>
    </row>
    <row r="8" s="46" customFormat="1" ht="84" customHeight="1" spans="1:9">
      <c r="A8" s="32">
        <v>6</v>
      </c>
      <c r="B8" s="103" t="s">
        <v>196</v>
      </c>
      <c r="C8" s="103">
        <v>28</v>
      </c>
      <c r="D8" s="103" t="s">
        <v>197</v>
      </c>
      <c r="E8" s="103" t="s">
        <v>188</v>
      </c>
      <c r="F8" s="103"/>
      <c r="G8" s="104"/>
      <c r="H8" s="105" t="str">
        <f>_xlfn.DISPIMG("ID_812EEA0518BC4CBEB3A7F6A84BA6EF0D",1)</f>
        <v>=DISPIMG("ID_812EEA0518BC4CBEB3A7F6A84BA6EF0D",1)</v>
      </c>
      <c r="I8" s="105" t="s">
        <v>189</v>
      </c>
    </row>
    <row r="9" s="46" customFormat="1" ht="84" customHeight="1" spans="1:9">
      <c r="A9" s="32">
        <v>7</v>
      </c>
      <c r="B9" s="103" t="s">
        <v>198</v>
      </c>
      <c r="C9" s="103">
        <v>8</v>
      </c>
      <c r="D9" s="103" t="s">
        <v>199</v>
      </c>
      <c r="E9" s="103" t="s">
        <v>200</v>
      </c>
      <c r="F9" s="103"/>
      <c r="G9" s="104"/>
      <c r="H9" s="105" t="str">
        <f>_xlfn.DISPIMG("ID_6BF584D54BA84C5D8D03CFC14650FA5D",1)</f>
        <v>=DISPIMG("ID_6BF584D54BA84C5D8D03CFC14650FA5D",1)</v>
      </c>
      <c r="I9" s="105" t="s">
        <v>189</v>
      </c>
    </row>
    <row r="10" s="46" customFormat="1" ht="84" customHeight="1" spans="1:9">
      <c r="A10" s="32">
        <v>8</v>
      </c>
      <c r="B10" s="103" t="s">
        <v>201</v>
      </c>
      <c r="C10" s="103">
        <v>17</v>
      </c>
      <c r="D10" s="103" t="s">
        <v>202</v>
      </c>
      <c r="E10" s="103" t="s">
        <v>200</v>
      </c>
      <c r="F10" s="103"/>
      <c r="G10" s="104"/>
      <c r="H10" s="105" t="str">
        <f>_xlfn.DISPIMG("ID_4F9AB81A194E4F918DD617E63301ACC5",1)</f>
        <v>=DISPIMG("ID_4F9AB81A194E4F918DD617E63301ACC5",1)</v>
      </c>
      <c r="I10" s="105" t="s">
        <v>189</v>
      </c>
    </row>
    <row r="11" s="46" customFormat="1" ht="84" customHeight="1" spans="1:9">
      <c r="A11" s="32">
        <v>9</v>
      </c>
      <c r="B11" s="103" t="s">
        <v>203</v>
      </c>
      <c r="C11" s="103">
        <v>6</v>
      </c>
      <c r="D11" s="103" t="s">
        <v>204</v>
      </c>
      <c r="E11" s="103" t="s">
        <v>188</v>
      </c>
      <c r="F11" s="103"/>
      <c r="G11" s="104"/>
      <c r="H11" s="105" t="str">
        <f>_xlfn.DISPIMG("ID_1E7ECA8356794EBC8EC3799D0E75604E",1)</f>
        <v>=DISPIMG("ID_1E7ECA8356794EBC8EC3799D0E75604E",1)</v>
      </c>
      <c r="I11" s="105" t="s">
        <v>39</v>
      </c>
    </row>
    <row r="12" s="46" customFormat="1" ht="84" customHeight="1" spans="1:9">
      <c r="A12" s="32">
        <v>10</v>
      </c>
      <c r="B12" s="103" t="s">
        <v>205</v>
      </c>
      <c r="C12" s="103">
        <v>1</v>
      </c>
      <c r="D12" s="103" t="s">
        <v>206</v>
      </c>
      <c r="E12" s="103" t="s">
        <v>185</v>
      </c>
      <c r="F12" s="103"/>
      <c r="G12" s="104"/>
      <c r="H12" s="105" t="str">
        <f>_xlfn.DISPIMG("ID_F58E9B04098245AEAC96D6BBE266E32E",1)</f>
        <v>=DISPIMG("ID_F58E9B04098245AEAC96D6BBE266E32E",1)</v>
      </c>
      <c r="I12" s="105" t="s">
        <v>189</v>
      </c>
    </row>
    <row r="13" s="46" customFormat="1" ht="84" customHeight="1" spans="1:9">
      <c r="A13" s="32">
        <v>11</v>
      </c>
      <c r="B13" s="103" t="s">
        <v>207</v>
      </c>
      <c r="C13" s="103">
        <v>8</v>
      </c>
      <c r="D13" s="103" t="s">
        <v>208</v>
      </c>
      <c r="E13" s="103" t="s">
        <v>188</v>
      </c>
      <c r="F13" s="103"/>
      <c r="G13" s="104"/>
      <c r="H13" s="105" t="str">
        <f>_xlfn.DISPIMG("ID_6AC16F3C206443BCA31ED660D35FED22",1)</f>
        <v>=DISPIMG("ID_6AC16F3C206443BCA31ED660D35FED22",1)</v>
      </c>
      <c r="I13" s="105" t="s">
        <v>76</v>
      </c>
    </row>
    <row r="14" s="46" customFormat="1" ht="84" customHeight="1" spans="1:9">
      <c r="A14" s="32">
        <v>12</v>
      </c>
      <c r="B14" s="103" t="s">
        <v>209</v>
      </c>
      <c r="C14" s="103">
        <v>6</v>
      </c>
      <c r="D14" s="103" t="s">
        <v>210</v>
      </c>
      <c r="E14" s="103" t="s">
        <v>188</v>
      </c>
      <c r="F14" s="103"/>
      <c r="G14" s="104"/>
      <c r="H14" s="105" t="str">
        <f>_xlfn.DISPIMG("ID_073601AA5B68496285F3C6A699BFAEB6",1)</f>
        <v>=DISPIMG("ID_073601AA5B68496285F3C6A699BFAEB6",1)</v>
      </c>
      <c r="I14" s="105" t="s">
        <v>189</v>
      </c>
    </row>
    <row r="15" s="46" customFormat="1" ht="84" customHeight="1" spans="1:9">
      <c r="A15" s="32">
        <v>13</v>
      </c>
      <c r="B15" s="103" t="s">
        <v>211</v>
      </c>
      <c r="C15" s="103">
        <v>6</v>
      </c>
      <c r="D15" s="103" t="s">
        <v>212</v>
      </c>
      <c r="E15" s="103" t="s">
        <v>188</v>
      </c>
      <c r="F15" s="103"/>
      <c r="G15" s="104"/>
      <c r="H15" s="105" t="str">
        <f>_xlfn.DISPIMG("ID_1F02158E415445C7B9F3ED9438813553",1)</f>
        <v>=DISPIMG("ID_1F02158E415445C7B9F3ED9438813553",1)</v>
      </c>
      <c r="I15" s="105" t="s">
        <v>76</v>
      </c>
    </row>
    <row r="16" s="46" customFormat="1" ht="84" customHeight="1" spans="1:9">
      <c r="A16" s="32">
        <v>14</v>
      </c>
      <c r="B16" s="103" t="s">
        <v>213</v>
      </c>
      <c r="C16" s="103">
        <v>3</v>
      </c>
      <c r="D16" s="103" t="s">
        <v>214</v>
      </c>
      <c r="E16" s="103" t="s">
        <v>188</v>
      </c>
      <c r="F16" s="103"/>
      <c r="G16" s="104"/>
      <c r="H16" s="105" t="str">
        <f>_xlfn.DISPIMG("ID_ECF306D5BC6D49F6BB5018C8E340BECD",1)</f>
        <v>=DISPIMG("ID_ECF306D5BC6D49F6BB5018C8E340BECD",1)</v>
      </c>
      <c r="I16" s="105" t="s">
        <v>215</v>
      </c>
    </row>
    <row r="17" s="46" customFormat="1" ht="84" customHeight="1" spans="1:9">
      <c r="A17" s="32">
        <v>15</v>
      </c>
      <c r="B17" s="103" t="s">
        <v>216</v>
      </c>
      <c r="C17" s="103">
        <v>7</v>
      </c>
      <c r="D17" s="103" t="s">
        <v>217</v>
      </c>
      <c r="E17" s="103" t="s">
        <v>188</v>
      </c>
      <c r="F17" s="103"/>
      <c r="G17" s="104"/>
      <c r="H17" s="105" t="str">
        <f>_xlfn.DISPIMG("ID_4E149A25271C4A91B670DFA7783C7C4C",1)</f>
        <v>=DISPIMG("ID_4E149A25271C4A91B670DFA7783C7C4C",1)</v>
      </c>
      <c r="I17" s="105" t="s">
        <v>76</v>
      </c>
    </row>
    <row r="18" s="46" customFormat="1" ht="111.55" spans="1:9">
      <c r="A18" s="32">
        <v>16</v>
      </c>
      <c r="B18" s="32" t="s">
        <v>218</v>
      </c>
      <c r="C18" s="32">
        <v>1</v>
      </c>
      <c r="D18" s="103" t="s">
        <v>219</v>
      </c>
      <c r="E18" s="32" t="s">
        <v>220</v>
      </c>
      <c r="F18" s="32"/>
      <c r="G18" s="106"/>
      <c r="H18" s="107" t="str">
        <f>_xlfn.DISPIMG("ID_659CC33843594B24972E9C54FE87C97A",1)</f>
        <v>=DISPIMG("ID_659CC33843594B24972E9C54FE87C97A",1)</v>
      </c>
      <c r="I18" s="105" t="s">
        <v>189</v>
      </c>
    </row>
    <row r="19" s="46" customFormat="1" ht="71.65" spans="1:9">
      <c r="A19" s="32">
        <v>17</v>
      </c>
      <c r="B19" s="32" t="s">
        <v>221</v>
      </c>
      <c r="C19" s="32">
        <v>13</v>
      </c>
      <c r="D19" s="103" t="s">
        <v>222</v>
      </c>
      <c r="E19" s="32" t="s">
        <v>223</v>
      </c>
      <c r="F19" s="32"/>
      <c r="G19" s="106"/>
      <c r="H19" s="108" t="str">
        <f>_xlfn.DISPIMG("ID_F07E172615A1481095F1C012EE95A4DE",1)</f>
        <v>=DISPIMG("ID_F07E172615A1481095F1C012EE95A4DE",1)</v>
      </c>
      <c r="I19" s="105" t="s">
        <v>189</v>
      </c>
    </row>
    <row r="20" s="46" customFormat="1" ht="109.3" spans="1:9">
      <c r="A20" s="32">
        <v>18</v>
      </c>
      <c r="B20" s="32" t="s">
        <v>224</v>
      </c>
      <c r="C20" s="32">
        <v>22</v>
      </c>
      <c r="D20" s="103" t="s">
        <v>219</v>
      </c>
      <c r="E20" s="32" t="s">
        <v>225</v>
      </c>
      <c r="F20" s="32"/>
      <c r="G20" s="106"/>
      <c r="H20" s="107" t="str">
        <f>_xlfn.DISPIMG("ID_D28F7ECB7DFA440DAFB49F9E25E14249",1)</f>
        <v>=DISPIMG("ID_D28F7ECB7DFA440DAFB49F9E25E14249",1)</v>
      </c>
      <c r="I20" s="105" t="s">
        <v>189</v>
      </c>
    </row>
    <row r="21" s="46" customFormat="1" ht="123" customHeight="1" spans="1:9">
      <c r="A21" s="32">
        <v>19</v>
      </c>
      <c r="B21" s="32" t="s">
        <v>159</v>
      </c>
      <c r="C21" s="32">
        <v>2</v>
      </c>
      <c r="D21" s="103" t="s">
        <v>226</v>
      </c>
      <c r="E21" s="32" t="s">
        <v>227</v>
      </c>
      <c r="F21" s="32"/>
      <c r="G21" s="106"/>
      <c r="H21" s="107" t="str">
        <f>_xlfn.DISPIMG("ID_CF04A30D5B7542A8B7D6D7033587DA62",1)</f>
        <v>=DISPIMG("ID_CF04A30D5B7542A8B7D6D7033587DA62",1)</v>
      </c>
      <c r="I21" s="105" t="s">
        <v>189</v>
      </c>
    </row>
    <row r="22" s="46" customFormat="1" ht="117.65" spans="1:9">
      <c r="A22" s="32">
        <v>20</v>
      </c>
      <c r="B22" s="32" t="s">
        <v>228</v>
      </c>
      <c r="C22" s="32">
        <v>1</v>
      </c>
      <c r="D22" s="103" t="s">
        <v>226</v>
      </c>
      <c r="E22" s="32" t="s">
        <v>229</v>
      </c>
      <c r="F22" s="32"/>
      <c r="G22" s="106"/>
      <c r="H22" s="107" t="str">
        <f>_xlfn.DISPIMG("ID_D5645405DD914E8690ECBA211EED0967",1)</f>
        <v>=DISPIMG("ID_D5645405DD914E8690ECBA211EED0967",1)</v>
      </c>
      <c r="I22" s="105" t="s">
        <v>189</v>
      </c>
    </row>
    <row r="23" s="46" customFormat="1" ht="112" customHeight="1" spans="1:9">
      <c r="A23" s="32">
        <v>21</v>
      </c>
      <c r="B23" s="32" t="s">
        <v>230</v>
      </c>
      <c r="C23" s="32">
        <v>6</v>
      </c>
      <c r="D23" s="103" t="s">
        <v>231</v>
      </c>
      <c r="E23" s="32" t="s">
        <v>223</v>
      </c>
      <c r="F23" s="32"/>
      <c r="G23" s="106"/>
      <c r="H23" s="107" t="str">
        <f>_xlfn.DISPIMG("ID_6C015A885D8842389D1A0DB53CABAE00",1)</f>
        <v>=DISPIMG("ID_6C015A885D8842389D1A0DB53CABAE00",1)</v>
      </c>
      <c r="I23" s="105" t="s">
        <v>39</v>
      </c>
    </row>
    <row r="24" s="46" customFormat="1" ht="113.7" spans="1:9">
      <c r="A24" s="32">
        <v>22</v>
      </c>
      <c r="B24" s="103" t="s">
        <v>216</v>
      </c>
      <c r="C24" s="32">
        <v>1</v>
      </c>
      <c r="D24" s="103" t="s">
        <v>232</v>
      </c>
      <c r="E24" s="32" t="s">
        <v>233</v>
      </c>
      <c r="F24" s="32"/>
      <c r="G24" s="106"/>
      <c r="H24" s="107" t="str">
        <f>_xlfn.DISPIMG("ID_7A52018B5C4041FEA57AD09057F3636C",1)</f>
        <v>=DISPIMG("ID_7A52018B5C4041FEA57AD09057F3636C",1)</v>
      </c>
      <c r="I24" s="105" t="s">
        <v>76</v>
      </c>
    </row>
    <row r="25" s="46" customFormat="1" ht="111" customHeight="1" spans="1:9">
      <c r="A25" s="32">
        <v>23</v>
      </c>
      <c r="B25" s="103" t="s">
        <v>211</v>
      </c>
      <c r="C25" s="32">
        <v>2</v>
      </c>
      <c r="D25" s="103" t="s">
        <v>234</v>
      </c>
      <c r="E25" s="32" t="s">
        <v>235</v>
      </c>
      <c r="F25" s="32"/>
      <c r="G25" s="106"/>
      <c r="H25" s="107" t="str">
        <f>_xlfn.DISPIMG("ID_2B091F5425D74DA198D3495DB9C81C77",1)</f>
        <v>=DISPIMG("ID_2B091F5425D74DA198D3495DB9C81C77",1)</v>
      </c>
      <c r="I25" s="105" t="s">
        <v>76</v>
      </c>
    </row>
    <row r="26" s="46" customFormat="1" ht="91.15" spans="1:9">
      <c r="A26" s="32">
        <v>24</v>
      </c>
      <c r="B26" s="32" t="s">
        <v>236</v>
      </c>
      <c r="C26" s="32">
        <v>2</v>
      </c>
      <c r="D26" s="103" t="s">
        <v>237</v>
      </c>
      <c r="E26" s="32" t="s">
        <v>238</v>
      </c>
      <c r="F26" s="32"/>
      <c r="G26" s="106"/>
      <c r="H26" s="107" t="str">
        <f>_xlfn.DISPIMG("ID_B95BE02B90B04010BFC0B0635510C21F",1)</f>
        <v>=DISPIMG("ID_B95BE02B90B04010BFC0B0635510C21F",1)</v>
      </c>
      <c r="I26" s="105" t="s">
        <v>76</v>
      </c>
    </row>
    <row r="27" s="21" customFormat="1" ht="84" customHeight="1" spans="1:9">
      <c r="A27" s="32">
        <v>25</v>
      </c>
      <c r="B27" s="27" t="s">
        <v>239</v>
      </c>
      <c r="C27" s="27">
        <v>22</v>
      </c>
      <c r="D27" s="103" t="s">
        <v>240</v>
      </c>
      <c r="E27" s="103" t="s">
        <v>188</v>
      </c>
      <c r="F27" s="32"/>
      <c r="G27" s="106"/>
      <c r="H27" s="30" t="str">
        <f>_xlfn.DISPIMG("ID_07FB8199F2954C2FA051DC1E8C14E491",1)</f>
        <v>=DISPIMG("ID_07FB8199F2954C2FA051DC1E8C14E491",1)</v>
      </c>
      <c r="I27" s="41" t="s">
        <v>215</v>
      </c>
    </row>
    <row r="28" s="21" customFormat="1" ht="84" customHeight="1" spans="1:9">
      <c r="A28" s="32">
        <v>26</v>
      </c>
      <c r="B28" s="63" t="s">
        <v>241</v>
      </c>
      <c r="C28" s="63">
        <v>6</v>
      </c>
      <c r="D28" s="103" t="s">
        <v>242</v>
      </c>
      <c r="E28" s="103" t="s">
        <v>188</v>
      </c>
      <c r="F28" s="103"/>
      <c r="G28" s="106"/>
      <c r="H28" s="41" t="str">
        <f>_xlfn.DISPIMG("ID_5695841EF33E40A1B8FB9930FD872ED3",1)</f>
        <v>=DISPIMG("ID_5695841EF33E40A1B8FB9930FD872ED3",1)</v>
      </c>
      <c r="I28" s="41" t="s">
        <v>69</v>
      </c>
    </row>
    <row r="29" s="21" customFormat="1" ht="84" customHeight="1" spans="1:9">
      <c r="A29" s="32">
        <v>27</v>
      </c>
      <c r="B29" s="63" t="s">
        <v>84</v>
      </c>
      <c r="C29" s="63">
        <v>20</v>
      </c>
      <c r="D29" s="103" t="s">
        <v>243</v>
      </c>
      <c r="E29" s="103" t="s">
        <v>188</v>
      </c>
      <c r="F29" s="103"/>
      <c r="G29" s="106"/>
      <c r="H29" s="41" t="str">
        <f>_xlfn.DISPIMG("ID_F255F4A3AA8544C3B96D998688CF5B5B",1)</f>
        <v>=DISPIMG("ID_F255F4A3AA8544C3B96D998688CF5B5B",1)</v>
      </c>
      <c r="I29" s="41" t="s">
        <v>189</v>
      </c>
    </row>
    <row r="30" s="21" customFormat="1" ht="84" customHeight="1" spans="1:9">
      <c r="A30" s="32">
        <v>28</v>
      </c>
      <c r="B30" s="27" t="s">
        <v>244</v>
      </c>
      <c r="C30" s="27">
        <v>20</v>
      </c>
      <c r="D30" s="103" t="s">
        <v>202</v>
      </c>
      <c r="E30" s="103" t="s">
        <v>188</v>
      </c>
      <c r="F30" s="32"/>
      <c r="G30" s="106"/>
      <c r="H30" s="84" t="str">
        <f>_xlfn.DISPIMG("ID_4DB1BC59BE754B018153B19F749D821B",1)</f>
        <v>=DISPIMG("ID_4DB1BC59BE754B018153B19F749D821B",1)</v>
      </c>
      <c r="I30" s="41" t="s">
        <v>189</v>
      </c>
    </row>
    <row r="31" s="46" customFormat="1" ht="25" customHeight="1" spans="1:9">
      <c r="A31" s="77" t="s">
        <v>86</v>
      </c>
      <c r="B31" s="109"/>
      <c r="C31" s="110"/>
      <c r="D31" s="110"/>
      <c r="E31" s="110"/>
      <c r="F31" s="110"/>
      <c r="G31" s="110"/>
      <c r="H31" s="110"/>
      <c r="I31" s="115"/>
    </row>
    <row r="32" s="46" customFormat="1" spans="1:9">
      <c r="A32" s="111"/>
      <c r="B32" s="111"/>
      <c r="C32" s="111"/>
      <c r="D32" s="111"/>
      <c r="E32" s="111"/>
      <c r="F32" s="111"/>
      <c r="G32" s="112"/>
      <c r="H32" s="112"/>
      <c r="I32" s="100"/>
    </row>
    <row r="33" s="46" customFormat="1" spans="1:9">
      <c r="A33" s="111"/>
      <c r="B33" s="111"/>
      <c r="C33" s="111"/>
      <c r="D33" s="111"/>
      <c r="E33" s="111"/>
      <c r="F33" s="111"/>
      <c r="G33" s="112"/>
      <c r="H33" s="112"/>
      <c r="I33" s="100"/>
    </row>
    <row r="34" s="46" customFormat="1" spans="1:9">
      <c r="A34" s="111"/>
      <c r="B34" s="111"/>
      <c r="C34" s="111"/>
      <c r="D34" s="111"/>
      <c r="E34" s="111"/>
      <c r="F34" s="111"/>
      <c r="G34" s="112"/>
      <c r="H34" s="112"/>
      <c r="I34" s="100"/>
    </row>
    <row r="35" s="46" customFormat="1" spans="1:9">
      <c r="A35" s="111"/>
      <c r="B35" s="111"/>
      <c r="C35" s="111"/>
      <c r="D35" s="111"/>
      <c r="E35" s="111"/>
      <c r="F35" s="111"/>
      <c r="G35" s="112"/>
      <c r="H35" s="112"/>
      <c r="I35" s="100"/>
    </row>
    <row r="36" s="46" customFormat="1" spans="1:9">
      <c r="A36" s="111"/>
      <c r="B36" s="111"/>
      <c r="C36" s="111"/>
      <c r="D36" s="111"/>
      <c r="E36" s="111"/>
      <c r="F36" s="111"/>
      <c r="G36" s="112"/>
      <c r="H36" s="112"/>
      <c r="I36" s="100"/>
    </row>
    <row r="37" s="46" customFormat="1" spans="1:9">
      <c r="A37" s="61"/>
      <c r="B37" s="61"/>
      <c r="C37" s="61"/>
      <c r="D37" s="61"/>
      <c r="E37" s="61"/>
      <c r="F37" s="61"/>
      <c r="I37" s="100"/>
    </row>
    <row r="38" s="46" customFormat="1" spans="1:9">
      <c r="A38" s="61"/>
      <c r="B38" s="61"/>
      <c r="C38" s="61"/>
      <c r="D38" s="61"/>
      <c r="E38" s="61"/>
      <c r="F38" s="61"/>
      <c r="I38" s="100"/>
    </row>
    <row r="39" s="46" customFormat="1" spans="1:9">
      <c r="A39" s="61"/>
      <c r="B39" s="61"/>
      <c r="C39" s="61"/>
      <c r="D39" s="61"/>
      <c r="E39" s="61"/>
      <c r="F39" s="61"/>
      <c r="I39" s="100"/>
    </row>
    <row r="40" s="46" customFormat="1" spans="1:9">
      <c r="A40" s="61"/>
      <c r="B40" s="61"/>
      <c r="C40" s="61"/>
      <c r="D40" s="61"/>
      <c r="E40" s="61"/>
      <c r="F40" s="61"/>
      <c r="I40" s="100"/>
    </row>
    <row r="41" s="46" customFormat="1" spans="1:9">
      <c r="A41" s="61"/>
      <c r="B41" s="61"/>
      <c r="C41" s="61"/>
      <c r="D41" s="61"/>
      <c r="E41" s="61"/>
      <c r="F41" s="61"/>
      <c r="I41" s="100"/>
    </row>
    <row r="42" s="46" customFormat="1" spans="1:9">
      <c r="A42" s="61"/>
      <c r="B42" s="61"/>
      <c r="C42" s="61"/>
      <c r="D42" s="61"/>
      <c r="E42" s="61"/>
      <c r="F42" s="61"/>
      <c r="I42" s="100"/>
    </row>
    <row r="43" s="46" customFormat="1" spans="1:9">
      <c r="A43" s="61"/>
      <c r="B43" s="61"/>
      <c r="C43" s="61"/>
      <c r="D43" s="61"/>
      <c r="E43" s="61"/>
      <c r="F43" s="61"/>
      <c r="I43" s="100"/>
    </row>
    <row r="44" s="46" customFormat="1" spans="1:9">
      <c r="A44" s="61"/>
      <c r="B44" s="61"/>
      <c r="C44" s="61"/>
      <c r="D44" s="61"/>
      <c r="E44" s="61"/>
      <c r="F44" s="61"/>
      <c r="I44" s="100"/>
    </row>
    <row r="45" s="46" customFormat="1" spans="1:9">
      <c r="A45" s="61"/>
      <c r="B45" s="61"/>
      <c r="C45" s="61"/>
      <c r="D45" s="61"/>
      <c r="E45" s="61"/>
      <c r="F45" s="61"/>
      <c r="I45" s="100"/>
    </row>
    <row r="46" s="46" customFormat="1" spans="1:9">
      <c r="A46" s="61"/>
      <c r="B46" s="61"/>
      <c r="C46" s="61"/>
      <c r="D46" s="61"/>
      <c r="E46" s="61"/>
      <c r="F46" s="61"/>
      <c r="I46" s="100"/>
    </row>
    <row r="47" s="46" customFormat="1" spans="1:9">
      <c r="A47" s="61"/>
      <c r="B47" s="61"/>
      <c r="C47" s="61"/>
      <c r="D47" s="61"/>
      <c r="E47" s="61"/>
      <c r="F47" s="61"/>
      <c r="I47" s="100"/>
    </row>
  </sheetData>
  <mergeCells count="2">
    <mergeCell ref="A1:I1"/>
    <mergeCell ref="B31:I31"/>
  </mergeCells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5"/>
  <sheetViews>
    <sheetView zoomScale="85" zoomScaleNormal="85" workbookViewId="0">
      <selection activeCell="G13" sqref="F3:G13"/>
    </sheetView>
  </sheetViews>
  <sheetFormatPr defaultColWidth="9" defaultRowHeight="17.6"/>
  <cols>
    <col min="1" max="1" width="11.1327433628319" style="21" customWidth="1"/>
    <col min="2" max="2" width="23.6283185840708" style="21" customWidth="1"/>
    <col min="3" max="3" width="12.8761061946903" style="21" customWidth="1"/>
    <col min="4" max="4" width="20.8761061946903" style="21" customWidth="1"/>
    <col min="5" max="5" width="43.7256637168142" style="21" customWidth="1"/>
    <col min="6" max="6" width="19.6283185840708" style="21" customWidth="1"/>
    <col min="7" max="7" width="24.7610619469027" style="21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47" t="s">
        <v>245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27" t="s">
        <v>159</v>
      </c>
      <c r="C3" s="27">
        <v>46</v>
      </c>
      <c r="D3" s="27" t="s">
        <v>246</v>
      </c>
      <c r="E3" s="27" t="s">
        <v>247</v>
      </c>
      <c r="F3" s="27"/>
      <c r="G3" s="27"/>
      <c r="H3" s="30" t="str">
        <f>_xlfn.DISPIMG("ID_839747225EAD4396B2FE5E46457649F1",1)</f>
        <v>=DISPIMG("ID_839747225EAD4396B2FE5E46457649F1",1)</v>
      </c>
      <c r="I3" s="41" t="s">
        <v>189</v>
      </c>
    </row>
    <row r="4" s="21" customFormat="1" ht="84" customHeight="1" spans="1:9">
      <c r="A4" s="27">
        <v>2</v>
      </c>
      <c r="B4" s="27" t="s">
        <v>248</v>
      </c>
      <c r="C4" s="27">
        <v>31</v>
      </c>
      <c r="D4" s="27" t="s">
        <v>167</v>
      </c>
      <c r="E4" s="27" t="s">
        <v>247</v>
      </c>
      <c r="F4" s="27"/>
      <c r="G4" s="27"/>
      <c r="H4" s="30" t="str">
        <f>_xlfn.DISPIMG("ID_45865F3D457B410698CA8704BDB0F74F",1)</f>
        <v>=DISPIMG("ID_45865F3D457B410698CA8704BDB0F74F",1)</v>
      </c>
      <c r="I4" s="41" t="s">
        <v>39</v>
      </c>
    </row>
    <row r="5" s="21" customFormat="1" ht="84" customHeight="1" spans="1:9">
      <c r="A5" s="27">
        <v>3</v>
      </c>
      <c r="B5" s="66" t="s">
        <v>249</v>
      </c>
      <c r="C5" s="66">
        <v>5</v>
      </c>
      <c r="D5" s="66" t="s">
        <v>167</v>
      </c>
      <c r="E5" s="66" t="s">
        <v>250</v>
      </c>
      <c r="F5" s="66"/>
      <c r="G5" s="66"/>
      <c r="H5" s="67" t="str">
        <f>_xlfn.DISPIMG("ID_5E2A6E7D7CCC4063A1F2622DD30AF997",1)</f>
        <v>=DISPIMG("ID_5E2A6E7D7CCC4063A1F2622DD30AF997",1)</v>
      </c>
      <c r="I5" s="41" t="s">
        <v>189</v>
      </c>
    </row>
    <row r="6" s="21" customFormat="1" ht="85" customHeight="1" spans="1:9">
      <c r="A6" s="27">
        <v>4</v>
      </c>
      <c r="B6" s="66" t="s">
        <v>251</v>
      </c>
      <c r="C6" s="66">
        <v>2</v>
      </c>
      <c r="D6" s="66" t="s">
        <v>167</v>
      </c>
      <c r="E6" s="27" t="s">
        <v>252</v>
      </c>
      <c r="F6" s="66"/>
      <c r="G6" s="66"/>
      <c r="H6" s="66" t="str">
        <f>_xlfn.DISPIMG("ID_82950A041A87453C862E0773F0ADECC9",1)</f>
        <v>=DISPIMG("ID_82950A041A87453C862E0773F0ADECC9",1)</v>
      </c>
      <c r="I6" s="41" t="s">
        <v>253</v>
      </c>
    </row>
    <row r="7" s="21" customFormat="1" ht="75" customHeight="1" spans="1:9">
      <c r="A7" s="27">
        <v>5</v>
      </c>
      <c r="B7" s="66" t="s">
        <v>50</v>
      </c>
      <c r="C7" s="66">
        <v>5</v>
      </c>
      <c r="D7" s="66" t="s">
        <v>167</v>
      </c>
      <c r="E7" s="27" t="s">
        <v>254</v>
      </c>
      <c r="F7" s="66"/>
      <c r="G7" s="66"/>
      <c r="H7" s="66" t="str">
        <f>_xlfn.DISPIMG("ID_48A8BE24CCC646CC9AFB8F7EA14837B1",1)</f>
        <v>=DISPIMG("ID_48A8BE24CCC646CC9AFB8F7EA14837B1",1)</v>
      </c>
      <c r="I7" s="41" t="s">
        <v>189</v>
      </c>
    </row>
    <row r="8" s="21" customFormat="1" ht="84" customHeight="1" spans="1:9">
      <c r="A8" s="27">
        <v>6</v>
      </c>
      <c r="B8" s="27" t="s">
        <v>79</v>
      </c>
      <c r="C8" s="27">
        <v>8</v>
      </c>
      <c r="D8" s="27" t="s">
        <v>167</v>
      </c>
      <c r="E8" s="27" t="s">
        <v>255</v>
      </c>
      <c r="F8" s="27"/>
      <c r="G8" s="27"/>
      <c r="H8" s="30" t="str">
        <f>_xlfn.DISPIMG("ID_406E92BD1EC84598B39B8FFDFF96671A",1)</f>
        <v>=DISPIMG("ID_406E92BD1EC84598B39B8FFDFF96671A",1)</v>
      </c>
      <c r="I8" s="41" t="s">
        <v>76</v>
      </c>
    </row>
    <row r="9" s="21" customFormat="1" ht="96" customHeight="1" spans="1:9">
      <c r="A9" s="27">
        <v>7</v>
      </c>
      <c r="B9" s="27" t="s">
        <v>59</v>
      </c>
      <c r="C9" s="27">
        <v>5</v>
      </c>
      <c r="D9" s="27" t="s">
        <v>167</v>
      </c>
      <c r="E9" s="27" t="s">
        <v>247</v>
      </c>
      <c r="F9" s="27"/>
      <c r="G9" s="27"/>
      <c r="H9" s="30" t="str">
        <f>_xlfn.DISPIMG("ID_8F98E73FAC804E0F886346EF90DD13AB",1)</f>
        <v>=DISPIMG("ID_8F98E73FAC804E0F886346EF90DD13AB",1)</v>
      </c>
      <c r="I9" s="41" t="s">
        <v>61</v>
      </c>
    </row>
    <row r="10" s="21" customFormat="1" ht="91" customHeight="1" spans="1:9">
      <c r="A10" s="27">
        <v>8</v>
      </c>
      <c r="B10" s="27" t="s">
        <v>186</v>
      </c>
      <c r="C10" s="27">
        <v>38</v>
      </c>
      <c r="D10" s="27" t="s">
        <v>167</v>
      </c>
      <c r="E10" s="27" t="s">
        <v>256</v>
      </c>
      <c r="F10" s="27"/>
      <c r="G10" s="27"/>
      <c r="H10" s="30" t="str">
        <f>_xlfn.DISPIMG("ID_2579FDE790324ED8B0A74B2390340889",1)</f>
        <v>=DISPIMG("ID_2579FDE790324ED8B0A74B2390340889",1)</v>
      </c>
      <c r="I10" s="41" t="s">
        <v>189</v>
      </c>
    </row>
    <row r="11" s="21" customFormat="1" ht="84" customHeight="1" spans="1:9">
      <c r="A11" s="27">
        <v>9</v>
      </c>
      <c r="B11" s="27" t="s">
        <v>70</v>
      </c>
      <c r="C11" s="27">
        <v>1</v>
      </c>
      <c r="D11" s="27" t="s">
        <v>167</v>
      </c>
      <c r="E11" s="27" t="s">
        <v>256</v>
      </c>
      <c r="F11" s="27"/>
      <c r="G11" s="27"/>
      <c r="H11" s="30" t="str">
        <f>_xlfn.DISPIMG("ID_48982C067EB449A9B0BE590CC2F1A809",1)</f>
        <v>=DISPIMG("ID_48982C067EB449A9B0BE590CC2F1A809",1)</v>
      </c>
      <c r="I11" s="41" t="s">
        <v>189</v>
      </c>
    </row>
    <row r="12" s="21" customFormat="1" ht="86" customHeight="1" spans="1:9">
      <c r="A12" s="27">
        <v>10</v>
      </c>
      <c r="B12" s="27" t="s">
        <v>257</v>
      </c>
      <c r="C12" s="27" t="s">
        <v>258</v>
      </c>
      <c r="D12" s="27"/>
      <c r="E12" s="27" t="s">
        <v>259</v>
      </c>
      <c r="F12" s="27"/>
      <c r="G12" s="27"/>
      <c r="H12" s="30" t="str">
        <f>_xlfn.DISPIMG("ID_B2704A19373C465383C949B02A35C34F",1)</f>
        <v>=DISPIMG("ID_B2704A19373C465383C949B02A35C34F",1)</v>
      </c>
      <c r="I12" s="41" t="s">
        <v>83</v>
      </c>
    </row>
    <row r="13" s="21" customFormat="1" ht="114" customHeight="1" spans="1:9">
      <c r="A13" s="27">
        <v>11</v>
      </c>
      <c r="B13" s="66" t="s">
        <v>260</v>
      </c>
      <c r="C13" s="66">
        <v>4</v>
      </c>
      <c r="D13" s="66" t="s">
        <v>261</v>
      </c>
      <c r="E13" s="27" t="s">
        <v>262</v>
      </c>
      <c r="F13" s="66"/>
      <c r="G13" s="66"/>
      <c r="H13" s="66" t="str">
        <f>_xlfn.DISPIMG("ID_F2F82386F4AF40578D1556C832EFC422",1)</f>
        <v>=DISPIMG("ID_F2F82386F4AF40578D1556C832EFC422",1)</v>
      </c>
      <c r="I13" s="41" t="s">
        <v>76</v>
      </c>
    </row>
    <row r="14" s="21" customFormat="1" ht="25" customHeight="1" spans="1:9">
      <c r="A14" s="26" t="s">
        <v>86</v>
      </c>
      <c r="B14" s="35"/>
      <c r="C14" s="36"/>
      <c r="D14" s="36"/>
      <c r="E14" s="36"/>
      <c r="F14" s="36"/>
      <c r="G14" s="36"/>
      <c r="H14" s="36"/>
      <c r="I14" s="45"/>
    </row>
    <row r="15" s="21" customFormat="1" spans="1:9">
      <c r="A15" s="37"/>
      <c r="B15" s="37"/>
      <c r="C15" s="37"/>
      <c r="D15" s="37"/>
      <c r="E15" s="37"/>
      <c r="F15" s="37"/>
      <c r="G15" s="38"/>
      <c r="H15" s="38"/>
      <c r="I15" s="23"/>
    </row>
    <row r="16" s="21" customFormat="1" spans="1:9">
      <c r="A16" s="37"/>
      <c r="B16" s="37"/>
      <c r="C16" s="37"/>
      <c r="D16" s="37"/>
      <c r="E16" s="37"/>
      <c r="F16" s="37"/>
      <c r="G16" s="38"/>
      <c r="H16" s="38"/>
      <c r="I16" s="23"/>
    </row>
    <row r="17" s="21" customFormat="1" spans="1:9">
      <c r="A17" s="37"/>
      <c r="B17" s="37"/>
      <c r="C17" s="37"/>
      <c r="D17" s="37"/>
      <c r="E17" s="37"/>
      <c r="F17" s="37"/>
      <c r="G17" s="38"/>
      <c r="H17" s="38"/>
      <c r="I17" s="23"/>
    </row>
    <row r="18" s="21" customFormat="1" spans="1:9">
      <c r="A18" s="37"/>
      <c r="B18" s="37"/>
      <c r="C18" s="37"/>
      <c r="D18" s="37"/>
      <c r="E18" s="37"/>
      <c r="F18" s="37"/>
      <c r="G18" s="38"/>
      <c r="H18" s="38"/>
      <c r="I18" s="23"/>
    </row>
    <row r="19" s="21" customFormat="1" spans="1:9">
      <c r="A19" s="37"/>
      <c r="B19" s="37"/>
      <c r="C19" s="37"/>
      <c r="D19" s="37"/>
      <c r="E19" s="37"/>
      <c r="F19" s="37"/>
      <c r="G19" s="38"/>
      <c r="H19" s="38"/>
      <c r="I19" s="23"/>
    </row>
    <row r="20" s="21" customFormat="1" spans="1:9">
      <c r="A20" s="37"/>
      <c r="B20" s="37"/>
      <c r="C20" s="37"/>
      <c r="D20" s="37"/>
      <c r="E20" s="37"/>
      <c r="F20" s="37"/>
      <c r="G20" s="38"/>
      <c r="H20" s="38"/>
      <c r="I20" s="23"/>
    </row>
    <row r="21" s="21" customFormat="1" spans="1:9">
      <c r="A21" s="37"/>
      <c r="B21" s="37"/>
      <c r="C21" s="37"/>
      <c r="D21" s="37"/>
      <c r="E21" s="37"/>
      <c r="F21" s="37"/>
      <c r="G21" s="38"/>
      <c r="H21" s="38"/>
      <c r="I21" s="23"/>
    </row>
    <row r="22" s="21" customFormat="1" spans="1:9">
      <c r="A22" s="37"/>
      <c r="B22" s="37"/>
      <c r="C22" s="37"/>
      <c r="D22" s="37"/>
      <c r="E22" s="37"/>
      <c r="F22" s="37"/>
      <c r="G22" s="38"/>
      <c r="H22" s="38"/>
      <c r="I22" s="23"/>
    </row>
    <row r="23" s="21" customFormat="1" spans="1:9">
      <c r="A23" s="37"/>
      <c r="B23" s="37"/>
      <c r="C23" s="37"/>
      <c r="D23" s="37"/>
      <c r="E23" s="37"/>
      <c r="F23" s="37"/>
      <c r="G23" s="38"/>
      <c r="H23" s="38"/>
      <c r="I23" s="23"/>
    </row>
    <row r="24" s="21" customFormat="1" spans="1:9">
      <c r="A24" s="37"/>
      <c r="B24" s="37"/>
      <c r="C24" s="37"/>
      <c r="D24" s="37"/>
      <c r="E24" s="37"/>
      <c r="F24" s="37"/>
      <c r="G24" s="38"/>
      <c r="H24" s="38"/>
      <c r="I24" s="23"/>
    </row>
    <row r="25" s="21" customFormat="1" spans="1:9">
      <c r="A25" s="37"/>
      <c r="B25" s="37"/>
      <c r="C25" s="37"/>
      <c r="D25" s="37"/>
      <c r="E25" s="37"/>
      <c r="F25" s="37"/>
      <c r="G25" s="38"/>
      <c r="H25" s="38"/>
      <c r="I25" s="23"/>
    </row>
    <row r="26" s="21" customFormat="1" spans="1:9">
      <c r="A26" s="37"/>
      <c r="B26" s="37"/>
      <c r="C26" s="37"/>
      <c r="D26" s="37"/>
      <c r="E26" s="37"/>
      <c r="F26" s="37"/>
      <c r="G26" s="38"/>
      <c r="H26" s="38"/>
      <c r="I26" s="23"/>
    </row>
    <row r="27" s="21" customFormat="1" spans="1:9">
      <c r="A27" s="37"/>
      <c r="B27" s="37"/>
      <c r="C27" s="37"/>
      <c r="D27" s="37"/>
      <c r="E27" s="37"/>
      <c r="F27" s="37"/>
      <c r="G27" s="38"/>
      <c r="H27" s="38"/>
      <c r="I27" s="23"/>
    </row>
    <row r="28" s="21" customFormat="1" spans="1:9">
      <c r="A28" s="37"/>
      <c r="B28" s="37"/>
      <c r="C28" s="37"/>
      <c r="D28" s="37"/>
      <c r="E28" s="37"/>
      <c r="F28" s="37"/>
      <c r="G28" s="38"/>
      <c r="H28" s="38"/>
      <c r="I28" s="23"/>
    </row>
    <row r="29" s="21" customFormat="1" spans="1:9">
      <c r="A29" s="37"/>
      <c r="B29" s="37"/>
      <c r="C29" s="37"/>
      <c r="D29" s="37"/>
      <c r="E29" s="37"/>
      <c r="F29" s="37"/>
      <c r="G29" s="38"/>
      <c r="H29" s="38"/>
      <c r="I29" s="23"/>
    </row>
    <row r="30" s="21" customFormat="1" spans="1:9">
      <c r="A30" s="37"/>
      <c r="B30" s="37"/>
      <c r="C30" s="37"/>
      <c r="D30" s="37"/>
      <c r="E30" s="37"/>
      <c r="F30" s="37"/>
      <c r="G30" s="38"/>
      <c r="H30" s="38"/>
      <c r="I30" s="23"/>
    </row>
    <row r="31" s="21" customFormat="1" spans="1:9">
      <c r="A31" s="37"/>
      <c r="B31" s="37"/>
      <c r="C31" s="37"/>
      <c r="D31" s="37"/>
      <c r="E31" s="37"/>
      <c r="F31" s="37"/>
      <c r="G31" s="38"/>
      <c r="H31" s="38"/>
      <c r="I31" s="23"/>
    </row>
    <row r="32" s="21" customFormat="1" spans="1:9">
      <c r="A32" s="37"/>
      <c r="B32" s="37"/>
      <c r="C32" s="37"/>
      <c r="D32" s="37"/>
      <c r="E32" s="37"/>
      <c r="F32" s="37"/>
      <c r="G32" s="38"/>
      <c r="H32" s="38"/>
      <c r="I32" s="23"/>
    </row>
    <row r="33" s="21" customFormat="1" spans="1:9">
      <c r="A33" s="37"/>
      <c r="B33" s="37"/>
      <c r="C33" s="37"/>
      <c r="D33" s="37"/>
      <c r="E33" s="37"/>
      <c r="F33" s="37"/>
      <c r="G33" s="38"/>
      <c r="H33" s="38"/>
      <c r="I33" s="23"/>
    </row>
    <row r="34" s="21" customFormat="1" spans="1:9">
      <c r="A34" s="37"/>
      <c r="B34" s="37"/>
      <c r="C34" s="37"/>
      <c r="D34" s="37"/>
      <c r="E34" s="37"/>
      <c r="F34" s="37"/>
      <c r="G34" s="38"/>
      <c r="H34" s="38"/>
      <c r="I34" s="23"/>
    </row>
    <row r="35" s="21" customFormat="1" spans="1:9">
      <c r="A35" s="22"/>
      <c r="B35" s="22"/>
      <c r="C35" s="22"/>
      <c r="D35" s="22"/>
      <c r="E35" s="22"/>
      <c r="F35" s="22"/>
      <c r="I35" s="23"/>
    </row>
    <row r="36" s="21" customFormat="1" spans="1:9">
      <c r="A36" s="22"/>
      <c r="B36" s="22"/>
      <c r="C36" s="22"/>
      <c r="D36" s="22"/>
      <c r="E36" s="22"/>
      <c r="F36" s="22"/>
      <c r="I36" s="23"/>
    </row>
    <row r="37" s="21" customFormat="1" spans="1:9">
      <c r="A37" s="22"/>
      <c r="B37" s="22"/>
      <c r="C37" s="22"/>
      <c r="D37" s="22"/>
      <c r="E37" s="22"/>
      <c r="F37" s="22"/>
      <c r="I37" s="23"/>
    </row>
    <row r="38" s="21" customFormat="1" spans="1:9">
      <c r="A38" s="22"/>
      <c r="B38" s="22"/>
      <c r="C38" s="22"/>
      <c r="D38" s="22"/>
      <c r="E38" s="22"/>
      <c r="F38" s="22"/>
      <c r="I38" s="23"/>
    </row>
    <row r="39" s="21" customFormat="1" spans="1:9">
      <c r="A39" s="22"/>
      <c r="B39" s="22"/>
      <c r="C39" s="22"/>
      <c r="D39" s="22"/>
      <c r="E39" s="22"/>
      <c r="F39" s="22"/>
      <c r="I39" s="23"/>
    </row>
    <row r="40" s="21" customFormat="1" spans="1:9">
      <c r="A40" s="22"/>
      <c r="B40" s="22"/>
      <c r="C40" s="22"/>
      <c r="D40" s="22"/>
      <c r="E40" s="22"/>
      <c r="F40" s="22"/>
      <c r="I40" s="23"/>
    </row>
    <row r="41" s="21" customFormat="1" spans="1:9">
      <c r="A41" s="22"/>
      <c r="B41" s="22"/>
      <c r="C41" s="22"/>
      <c r="D41" s="22"/>
      <c r="E41" s="22"/>
      <c r="F41" s="22"/>
      <c r="I41" s="23"/>
    </row>
    <row r="42" s="21" customFormat="1" spans="1:9">
      <c r="A42" s="22"/>
      <c r="B42" s="22"/>
      <c r="C42" s="22"/>
      <c r="D42" s="22"/>
      <c r="E42" s="22"/>
      <c r="F42" s="22"/>
      <c r="I42" s="23"/>
    </row>
    <row r="43" s="21" customFormat="1" spans="1:9">
      <c r="A43" s="22"/>
      <c r="B43" s="22"/>
      <c r="C43" s="22"/>
      <c r="D43" s="22"/>
      <c r="E43" s="22"/>
      <c r="F43" s="22"/>
      <c r="I43" s="23"/>
    </row>
    <row r="44" s="21" customFormat="1" spans="1:9">
      <c r="A44" s="22"/>
      <c r="B44" s="22"/>
      <c r="C44" s="22"/>
      <c r="D44" s="22"/>
      <c r="E44" s="22"/>
      <c r="F44" s="22"/>
      <c r="I44" s="23"/>
    </row>
    <row r="45" s="21" customFormat="1" spans="1:9">
      <c r="A45" s="22"/>
      <c r="B45" s="22"/>
      <c r="C45" s="22"/>
      <c r="D45" s="22"/>
      <c r="E45" s="22"/>
      <c r="F45" s="22"/>
      <c r="I45" s="23"/>
    </row>
  </sheetData>
  <mergeCells count="2">
    <mergeCell ref="A1:I1"/>
    <mergeCell ref="B14:I14"/>
  </mergeCells>
  <pageMargins left="0.75" right="0.75" top="1" bottom="1" header="0.5" footer="0.5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73"/>
  <sheetViews>
    <sheetView zoomScale="55" zoomScaleNormal="55" workbookViewId="0">
      <selection activeCell="G72" sqref="F3:G72"/>
    </sheetView>
  </sheetViews>
  <sheetFormatPr defaultColWidth="9" defaultRowHeight="17.6"/>
  <cols>
    <col min="1" max="1" width="11.1327433628319" style="21" customWidth="1"/>
    <col min="2" max="2" width="19.2477876106195" style="23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1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47" t="s">
        <v>263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40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63" t="s">
        <v>264</v>
      </c>
      <c r="C3" s="27">
        <v>11</v>
      </c>
      <c r="D3" s="63" t="s">
        <v>265</v>
      </c>
      <c r="E3" s="63" t="s">
        <v>266</v>
      </c>
      <c r="F3" s="27"/>
      <c r="G3" s="27"/>
      <c r="H3" s="30" t="str">
        <f>_xlfn.DISPIMG("ID_1A8BED4F179C4DC4946318D4EE05DDDE",1)</f>
        <v>=DISPIMG("ID_1A8BED4F179C4DC4946318D4EE05DDDE",1)</v>
      </c>
      <c r="I3" s="41" t="s">
        <v>189</v>
      </c>
    </row>
    <row r="4" s="21" customFormat="1" ht="87" customHeight="1" spans="1:9">
      <c r="A4" s="27">
        <v>2</v>
      </c>
      <c r="B4" s="27" t="s">
        <v>160</v>
      </c>
      <c r="C4" s="27">
        <v>1</v>
      </c>
      <c r="D4" s="27" t="s">
        <v>267</v>
      </c>
      <c r="E4" s="27" t="s">
        <v>268</v>
      </c>
      <c r="F4" s="27"/>
      <c r="G4" s="27"/>
      <c r="H4" s="30"/>
      <c r="I4" s="41" t="s">
        <v>189</v>
      </c>
    </row>
    <row r="5" s="21" customFormat="1" ht="96" customHeight="1" spans="1:9">
      <c r="A5" s="27">
        <v>3</v>
      </c>
      <c r="B5" s="27" t="s">
        <v>160</v>
      </c>
      <c r="C5" s="27">
        <v>1</v>
      </c>
      <c r="D5" s="27" t="s">
        <v>269</v>
      </c>
      <c r="E5" s="27" t="s">
        <v>270</v>
      </c>
      <c r="F5" s="27"/>
      <c r="G5" s="27"/>
      <c r="H5" s="30"/>
      <c r="I5" s="41" t="s">
        <v>189</v>
      </c>
    </row>
    <row r="6" s="21" customFormat="1" ht="84" customHeight="1" spans="1:9">
      <c r="A6" s="27">
        <v>4</v>
      </c>
      <c r="B6" s="63" t="s">
        <v>271</v>
      </c>
      <c r="C6" s="27">
        <v>40</v>
      </c>
      <c r="D6" s="63" t="s">
        <v>272</v>
      </c>
      <c r="E6" s="63" t="s">
        <v>273</v>
      </c>
      <c r="F6" s="27"/>
      <c r="G6" s="27"/>
      <c r="H6" s="30" t="str">
        <f>_xlfn.DISPIMG("ID_55065F6CA34B4FC7B18ABC1622240147",1)</f>
        <v>=DISPIMG("ID_55065F6CA34B4FC7B18ABC1622240147",1)</v>
      </c>
      <c r="I6" s="41" t="s">
        <v>189</v>
      </c>
    </row>
    <row r="7" s="21" customFormat="1" ht="84" customHeight="1" spans="1:9">
      <c r="A7" s="27">
        <v>5</v>
      </c>
      <c r="B7" s="63" t="s">
        <v>274</v>
      </c>
      <c r="C7" s="27">
        <v>40</v>
      </c>
      <c r="D7" s="63" t="s">
        <v>272</v>
      </c>
      <c r="E7" s="63" t="s">
        <v>273</v>
      </c>
      <c r="F7" s="27"/>
      <c r="G7" s="27"/>
      <c r="H7" s="30" t="str">
        <f>_xlfn.DISPIMG("ID_0B773C5598BF4F4F809FDE1A27AAB4CB",1)</f>
        <v>=DISPIMG("ID_0B773C5598BF4F4F809FDE1A27AAB4CB",1)</v>
      </c>
      <c r="I7" s="41" t="s">
        <v>189</v>
      </c>
    </row>
    <row r="8" s="21" customFormat="1" ht="84" customHeight="1" spans="1:9">
      <c r="A8" s="27">
        <v>6</v>
      </c>
      <c r="B8" s="63" t="s">
        <v>275</v>
      </c>
      <c r="C8" s="27">
        <v>40</v>
      </c>
      <c r="D8" s="63" t="s">
        <v>272</v>
      </c>
      <c r="E8" s="63" t="s">
        <v>273</v>
      </c>
      <c r="F8" s="27"/>
      <c r="G8" s="27"/>
      <c r="H8" s="30" t="str">
        <f>_xlfn.DISPIMG("ID_0EFBBB1E39E642E18BC57C65F2CD0259",1)</f>
        <v>=DISPIMG("ID_0EFBBB1E39E642E18BC57C65F2CD0259",1)</v>
      </c>
      <c r="I8" s="41" t="s">
        <v>189</v>
      </c>
    </row>
    <row r="9" s="21" customFormat="1" ht="84" customHeight="1" spans="1:9">
      <c r="A9" s="27">
        <v>7</v>
      </c>
      <c r="B9" s="63" t="s">
        <v>276</v>
      </c>
      <c r="C9" s="27">
        <v>6</v>
      </c>
      <c r="D9" s="63" t="s">
        <v>272</v>
      </c>
      <c r="E9" s="63" t="s">
        <v>277</v>
      </c>
      <c r="F9" s="27"/>
      <c r="G9" s="27"/>
      <c r="H9" s="30" t="str">
        <f>_xlfn.DISPIMG("ID_052E8D592BFD429BAB1182D34BA49610",1)</f>
        <v>=DISPIMG("ID_052E8D592BFD429BAB1182D34BA49610",1)</v>
      </c>
      <c r="I9" s="41" t="s">
        <v>189</v>
      </c>
    </row>
    <row r="10" s="21" customFormat="1" ht="84" customHeight="1" spans="1:9">
      <c r="A10" s="27">
        <v>8</v>
      </c>
      <c r="B10" s="63" t="s">
        <v>278</v>
      </c>
      <c r="C10" s="27">
        <v>6</v>
      </c>
      <c r="D10" s="63" t="s">
        <v>272</v>
      </c>
      <c r="E10" s="63" t="s">
        <v>277</v>
      </c>
      <c r="F10" s="27"/>
      <c r="G10" s="27"/>
      <c r="H10" s="30" t="str">
        <f>_xlfn.DISPIMG("ID_438B030F1624431EAB412E1CC5273799",1)</f>
        <v>=DISPIMG("ID_438B030F1624431EAB412E1CC5273799",1)</v>
      </c>
      <c r="I10" s="41" t="s">
        <v>189</v>
      </c>
    </row>
    <row r="11" s="21" customFormat="1" ht="84" customHeight="1" spans="1:9">
      <c r="A11" s="27">
        <v>9</v>
      </c>
      <c r="B11" s="63" t="s">
        <v>279</v>
      </c>
      <c r="C11" s="27">
        <v>6</v>
      </c>
      <c r="D11" s="63" t="s">
        <v>272</v>
      </c>
      <c r="E11" s="63" t="s">
        <v>277</v>
      </c>
      <c r="F11" s="27"/>
      <c r="G11" s="27"/>
      <c r="H11" s="30" t="str">
        <f>_xlfn.DISPIMG("ID_6A507726C7FF4000A09F71FE625114E6",1)</f>
        <v>=DISPIMG("ID_6A507726C7FF4000A09F71FE625114E6",1)</v>
      </c>
      <c r="I11" s="41" t="s">
        <v>189</v>
      </c>
    </row>
    <row r="12" s="21" customFormat="1" ht="93.75" customHeight="1" spans="1:9">
      <c r="A12" s="27">
        <v>10</v>
      </c>
      <c r="B12" s="63" t="s">
        <v>280</v>
      </c>
      <c r="C12" s="63">
        <v>40</v>
      </c>
      <c r="D12" s="63" t="s">
        <v>281</v>
      </c>
      <c r="E12" s="63" t="s">
        <v>282</v>
      </c>
      <c r="F12" s="27"/>
      <c r="G12" s="27"/>
      <c r="H12" s="30" t="str">
        <f>_xlfn.DISPIMG("ID_F972AA5615F8485786E0C46497293807",1)</f>
        <v>=DISPIMG("ID_F972AA5615F8485786E0C46497293807",1)</v>
      </c>
      <c r="I12" s="41" t="s">
        <v>189</v>
      </c>
    </row>
    <row r="13" s="21" customFormat="1" ht="93.75" customHeight="1" spans="1:9">
      <c r="A13" s="27">
        <v>11</v>
      </c>
      <c r="B13" s="63" t="s">
        <v>274</v>
      </c>
      <c r="C13" s="63">
        <v>3</v>
      </c>
      <c r="D13" s="63" t="s">
        <v>281</v>
      </c>
      <c r="E13" s="63" t="s">
        <v>283</v>
      </c>
      <c r="F13" s="27"/>
      <c r="G13" s="27"/>
      <c r="H13" s="30" t="str">
        <f>_xlfn.DISPIMG("ID_0D4A112E88ED4034A02865273E58B280",1)</f>
        <v>=DISPIMG("ID_0D4A112E88ED4034A02865273E58B280",1)</v>
      </c>
      <c r="I13" s="41" t="s">
        <v>189</v>
      </c>
    </row>
    <row r="14" s="21" customFormat="1" ht="169" customHeight="1" spans="1:9">
      <c r="A14" s="27">
        <v>12</v>
      </c>
      <c r="B14" s="27" t="s">
        <v>159</v>
      </c>
      <c r="C14" s="27">
        <v>14</v>
      </c>
      <c r="D14" s="63" t="s">
        <v>272</v>
      </c>
      <c r="E14" s="27" t="s">
        <v>270</v>
      </c>
      <c r="F14" s="27"/>
      <c r="G14" s="27"/>
      <c r="H14" s="84"/>
      <c r="I14" s="41" t="s">
        <v>189</v>
      </c>
    </row>
    <row r="15" s="21" customFormat="1" ht="84" customHeight="1" spans="1:9">
      <c r="A15" s="27">
        <v>13</v>
      </c>
      <c r="B15" s="63" t="s">
        <v>284</v>
      </c>
      <c r="C15" s="27">
        <v>1</v>
      </c>
      <c r="D15" s="63" t="s">
        <v>285</v>
      </c>
      <c r="E15" s="27" t="s">
        <v>286</v>
      </c>
      <c r="F15" s="27"/>
      <c r="G15" s="27"/>
      <c r="H15" s="30" t="str">
        <f>_xlfn.DISPIMG("ID_3CD3539566ED4DA38E8B52B9A2A2E1A0",1)</f>
        <v>=DISPIMG("ID_3CD3539566ED4DA38E8B52B9A2A2E1A0",1)</v>
      </c>
      <c r="I15" s="41" t="s">
        <v>287</v>
      </c>
    </row>
    <row r="16" s="21" customFormat="1" ht="105.75" customHeight="1" spans="1:9">
      <c r="A16" s="27">
        <v>14</v>
      </c>
      <c r="B16" s="63" t="s">
        <v>288</v>
      </c>
      <c r="C16" s="63">
        <v>6</v>
      </c>
      <c r="D16" s="63" t="s">
        <v>289</v>
      </c>
      <c r="E16" s="63" t="s">
        <v>290</v>
      </c>
      <c r="F16" s="27"/>
      <c r="G16" s="27"/>
      <c r="H16" s="30" t="str">
        <f>_xlfn.DISPIMG("ID_1F5D48E7FCA9462AAC394314226E33E3",1)</f>
        <v>=DISPIMG("ID_1F5D48E7FCA9462AAC394314226E33E3",1)</v>
      </c>
      <c r="I16" s="41" t="s">
        <v>287</v>
      </c>
    </row>
    <row r="17" s="21" customFormat="1" ht="84" customHeight="1" spans="1:9">
      <c r="A17" s="27">
        <v>15</v>
      </c>
      <c r="B17" s="63" t="s">
        <v>291</v>
      </c>
      <c r="C17" s="27">
        <v>8</v>
      </c>
      <c r="D17" s="63" t="s">
        <v>292</v>
      </c>
      <c r="E17" s="63" t="s">
        <v>293</v>
      </c>
      <c r="F17" s="27"/>
      <c r="G17" s="27"/>
      <c r="H17" s="30" t="str">
        <f>_xlfn.DISPIMG("ID_99F33F34ADCF409784B6DD1B66FB177E",1)</f>
        <v>=DISPIMG("ID_99F33F34ADCF409784B6DD1B66FB177E",1)</v>
      </c>
      <c r="I17" s="41" t="s">
        <v>189</v>
      </c>
    </row>
    <row r="18" s="21" customFormat="1" ht="55.5" customHeight="1" spans="1:9">
      <c r="A18" s="27">
        <v>16</v>
      </c>
      <c r="B18" s="63" t="s">
        <v>260</v>
      </c>
      <c r="C18" s="63">
        <v>3</v>
      </c>
      <c r="D18" s="63" t="s">
        <v>294</v>
      </c>
      <c r="E18" s="63" t="s">
        <v>295</v>
      </c>
      <c r="F18" s="27"/>
      <c r="G18" s="27"/>
      <c r="H18" s="30" t="str">
        <f>_xlfn.DISPIMG("ID_BEB24C998E0A41C9A414F383A32CC91E",1)</f>
        <v>=DISPIMG("ID_BEB24C998E0A41C9A414F383A32CC91E",1)</v>
      </c>
      <c r="I18" s="41" t="s">
        <v>189</v>
      </c>
    </row>
    <row r="19" s="21" customFormat="1" ht="84" customHeight="1" spans="1:9">
      <c r="A19" s="27">
        <v>17</v>
      </c>
      <c r="B19" s="63" t="s">
        <v>296</v>
      </c>
      <c r="C19" s="27">
        <v>1</v>
      </c>
      <c r="D19" s="63" t="s">
        <v>297</v>
      </c>
      <c r="E19" s="27" t="s">
        <v>286</v>
      </c>
      <c r="F19" s="27"/>
      <c r="G19" s="27"/>
      <c r="H19" s="30" t="str">
        <f>_xlfn.DISPIMG("ID_D98B3AA35ED243959F043A81206C30C6",1)</f>
        <v>=DISPIMG("ID_D98B3AA35ED243959F043A81206C30C6",1)</v>
      </c>
      <c r="I19" s="41" t="s">
        <v>189</v>
      </c>
    </row>
    <row r="20" s="21" customFormat="1" ht="244.5" customHeight="1" spans="1:9">
      <c r="A20" s="27">
        <v>18</v>
      </c>
      <c r="B20" s="63" t="s">
        <v>36</v>
      </c>
      <c r="C20" s="27">
        <v>20</v>
      </c>
      <c r="D20" s="63" t="s">
        <v>298</v>
      </c>
      <c r="E20" s="63" t="s">
        <v>299</v>
      </c>
      <c r="F20" s="27"/>
      <c r="G20" s="27"/>
      <c r="H20" s="30" t="str">
        <f>_xlfn.DISPIMG("ID_8264003E81EB4CDEB5BD65D21EE402B1",1)</f>
        <v>=DISPIMG("ID_8264003E81EB4CDEB5BD65D21EE402B1",1)</v>
      </c>
      <c r="I20" s="42" t="s">
        <v>39</v>
      </c>
    </row>
    <row r="21" s="21" customFormat="1" ht="64.5" customHeight="1" spans="1:9">
      <c r="A21" s="27">
        <v>19</v>
      </c>
      <c r="B21" s="63" t="s">
        <v>300</v>
      </c>
      <c r="C21" s="63">
        <v>2</v>
      </c>
      <c r="D21" s="63" t="s">
        <v>301</v>
      </c>
      <c r="E21" s="63" t="s">
        <v>302</v>
      </c>
      <c r="F21" s="27"/>
      <c r="G21" s="27"/>
      <c r="H21" s="84" t="str">
        <f>_xlfn.DISPIMG("ID_27CD8146DFDA41A8ABDACC98624D9AC5",1)</f>
        <v>=DISPIMG("ID_27CD8146DFDA41A8ABDACC98624D9AC5",1)</v>
      </c>
      <c r="I21" s="43"/>
    </row>
    <row r="22" s="21" customFormat="1" ht="68.25" customHeight="1" spans="1:9">
      <c r="A22" s="27">
        <v>20</v>
      </c>
      <c r="B22" s="63" t="s">
        <v>303</v>
      </c>
      <c r="C22" s="63">
        <v>1</v>
      </c>
      <c r="D22" s="63" t="s">
        <v>301</v>
      </c>
      <c r="E22" s="63" t="s">
        <v>302</v>
      </c>
      <c r="F22" s="27"/>
      <c r="G22" s="27"/>
      <c r="H22" s="30" t="str">
        <f>_xlfn.DISPIMG("ID_7315724890464204896BF2678333CE73",1)</f>
        <v>=DISPIMG("ID_7315724890464204896BF2678333CE73",1)</v>
      </c>
      <c r="I22" s="43"/>
    </row>
    <row r="23" s="21" customFormat="1" ht="59.25" customHeight="1" spans="1:9">
      <c r="A23" s="27">
        <v>21</v>
      </c>
      <c r="B23" s="63" t="s">
        <v>304</v>
      </c>
      <c r="C23" s="63">
        <v>1</v>
      </c>
      <c r="D23" s="63" t="s">
        <v>301</v>
      </c>
      <c r="E23" s="63" t="s">
        <v>302</v>
      </c>
      <c r="F23" s="27"/>
      <c r="G23" s="27"/>
      <c r="H23" s="84" t="str">
        <f>_xlfn.DISPIMG("ID_5EB7A60FC4B043EAA2B4D01D8E7F8D49",1)</f>
        <v>=DISPIMG("ID_5EB7A60FC4B043EAA2B4D01D8E7F8D49",1)</v>
      </c>
      <c r="I23" s="43"/>
    </row>
    <row r="24" s="21" customFormat="1" ht="65.25" customHeight="1" spans="1:9">
      <c r="A24" s="27">
        <v>22</v>
      </c>
      <c r="B24" s="63" t="s">
        <v>305</v>
      </c>
      <c r="C24" s="63">
        <v>2</v>
      </c>
      <c r="D24" s="63" t="s">
        <v>306</v>
      </c>
      <c r="E24" s="63" t="s">
        <v>307</v>
      </c>
      <c r="F24" s="27"/>
      <c r="G24" s="27"/>
      <c r="H24" s="30" t="str">
        <f>_xlfn.DISPIMG("ID_38A0E0AB70E0463EA1D2DAB9A198E725",1)</f>
        <v>=DISPIMG("ID_38A0E0AB70E0463EA1D2DAB9A198E725",1)</v>
      </c>
      <c r="I24" s="43"/>
    </row>
    <row r="25" s="21" customFormat="1" ht="56.25" customHeight="1" spans="1:9">
      <c r="A25" s="27">
        <v>23</v>
      </c>
      <c r="B25" s="63" t="s">
        <v>308</v>
      </c>
      <c r="C25" s="63">
        <v>2</v>
      </c>
      <c r="D25" s="63" t="s">
        <v>306</v>
      </c>
      <c r="E25" s="63" t="s">
        <v>295</v>
      </c>
      <c r="F25" s="27"/>
      <c r="G25" s="27"/>
      <c r="H25" s="30" t="str">
        <f>_xlfn.DISPIMG("ID_8F1E7FC12A884E7D9A99A8F5A96673CD",1)</f>
        <v>=DISPIMG("ID_8F1E7FC12A884E7D9A99A8F5A96673CD",1)</v>
      </c>
      <c r="I25" s="43"/>
    </row>
    <row r="26" s="21" customFormat="1" ht="84" customHeight="1" spans="1:9">
      <c r="A26" s="27">
        <v>24</v>
      </c>
      <c r="B26" s="27" t="s">
        <v>36</v>
      </c>
      <c r="C26" s="27">
        <v>13</v>
      </c>
      <c r="D26" s="63" t="s">
        <v>306</v>
      </c>
      <c r="E26" s="27" t="s">
        <v>270</v>
      </c>
      <c r="F26" s="27"/>
      <c r="G26" s="27"/>
      <c r="H26" s="30"/>
      <c r="I26" s="44"/>
    </row>
    <row r="27" s="21" customFormat="1" ht="84" customHeight="1" spans="1:9">
      <c r="A27" s="27">
        <v>25</v>
      </c>
      <c r="B27" s="63" t="s">
        <v>309</v>
      </c>
      <c r="C27" s="27">
        <v>1</v>
      </c>
      <c r="D27" s="63" t="s">
        <v>310</v>
      </c>
      <c r="E27" s="27" t="s">
        <v>286</v>
      </c>
      <c r="F27" s="27"/>
      <c r="G27" s="27"/>
      <c r="H27" s="30" t="str">
        <f>_xlfn.DISPIMG("ID_AEB806D70E9D48429D759390F4D8782C",1)</f>
        <v>=DISPIMG("ID_AEB806D70E9D48429D759390F4D8782C",1)</v>
      </c>
      <c r="I27" s="42" t="s">
        <v>189</v>
      </c>
    </row>
    <row r="28" s="21" customFormat="1" ht="94.5" customHeight="1" spans="1:9">
      <c r="A28" s="27">
        <v>26</v>
      </c>
      <c r="B28" s="63" t="s">
        <v>311</v>
      </c>
      <c r="C28" s="63">
        <v>10</v>
      </c>
      <c r="D28" s="63" t="s">
        <v>312</v>
      </c>
      <c r="E28" s="63" t="s">
        <v>295</v>
      </c>
      <c r="F28" s="27"/>
      <c r="G28" s="27"/>
      <c r="H28" s="30" t="str">
        <f>_xlfn.DISPIMG("ID_71A9B3242B154A5D82413DAB94F99F00",1)</f>
        <v>=DISPIMG("ID_71A9B3242B154A5D82413DAB94F99F00",1)</v>
      </c>
      <c r="I28" s="43"/>
    </row>
    <row r="29" s="21" customFormat="1" ht="75.75" customHeight="1" spans="1:9">
      <c r="A29" s="27">
        <v>27</v>
      </c>
      <c r="B29" s="63" t="s">
        <v>311</v>
      </c>
      <c r="C29" s="63">
        <v>1</v>
      </c>
      <c r="D29" s="63" t="s">
        <v>313</v>
      </c>
      <c r="E29" s="63" t="s">
        <v>314</v>
      </c>
      <c r="F29" s="27"/>
      <c r="G29" s="27"/>
      <c r="H29" s="30" t="str">
        <f>_xlfn.DISPIMG("ID_B2F78ECFDD9445A0AF5E3E0CCE1B4036",1)</f>
        <v>=DISPIMG("ID_B2F78ECFDD9445A0AF5E3E0CCE1B4036",1)</v>
      </c>
      <c r="I29" s="44"/>
    </row>
    <row r="30" s="21" customFormat="1" ht="84" customHeight="1" spans="1:9">
      <c r="A30" s="27">
        <v>28</v>
      </c>
      <c r="B30" s="63" t="s">
        <v>315</v>
      </c>
      <c r="C30" s="27">
        <v>1</v>
      </c>
      <c r="D30" s="63" t="s">
        <v>316</v>
      </c>
      <c r="E30" s="27" t="s">
        <v>286</v>
      </c>
      <c r="F30" s="27"/>
      <c r="G30" s="27"/>
      <c r="H30" s="30" t="str">
        <f>_xlfn.DISPIMG("ID_000303F986E645139D743BF52B88FB7C",1)</f>
        <v>=DISPIMG("ID_000303F986E645139D743BF52B88FB7C",1)</v>
      </c>
      <c r="I30" s="42" t="s">
        <v>61</v>
      </c>
    </row>
    <row r="31" s="21" customFormat="1" ht="84" customHeight="1" spans="1:9">
      <c r="A31" s="27">
        <v>29</v>
      </c>
      <c r="B31" s="63" t="s">
        <v>317</v>
      </c>
      <c r="C31" s="27">
        <v>1</v>
      </c>
      <c r="D31" s="63" t="s">
        <v>318</v>
      </c>
      <c r="E31" s="27" t="s">
        <v>286</v>
      </c>
      <c r="F31" s="27"/>
      <c r="G31" s="27"/>
      <c r="H31" s="30" t="str">
        <f>_xlfn.DISPIMG("ID_256B14D8F9DA48F981850B77CC8FCD05",1)</f>
        <v>=DISPIMG("ID_256B14D8F9DA48F981850B77CC8FCD05",1)</v>
      </c>
      <c r="I31" s="43"/>
    </row>
    <row r="32" s="21" customFormat="1" ht="84" customHeight="1" spans="1:9">
      <c r="A32" s="27">
        <v>30</v>
      </c>
      <c r="B32" s="63" t="s">
        <v>319</v>
      </c>
      <c r="C32" s="27">
        <v>1</v>
      </c>
      <c r="D32" s="63" t="s">
        <v>318</v>
      </c>
      <c r="E32" s="27" t="s">
        <v>286</v>
      </c>
      <c r="F32" s="27"/>
      <c r="G32" s="27"/>
      <c r="H32" s="30" t="str">
        <f>_xlfn.DISPIMG("ID_A37022A2A44D454B9D5429F91A0CA609",1)</f>
        <v>=DISPIMG("ID_A37022A2A44D454B9D5429F91A0CA609",1)</v>
      </c>
      <c r="I32" s="43"/>
    </row>
    <row r="33" s="21" customFormat="1" ht="84" customHeight="1" spans="1:9">
      <c r="A33" s="27">
        <v>31</v>
      </c>
      <c r="B33" s="63" t="s">
        <v>320</v>
      </c>
      <c r="C33" s="27">
        <v>1</v>
      </c>
      <c r="D33" s="63" t="s">
        <v>318</v>
      </c>
      <c r="E33" s="27" t="s">
        <v>286</v>
      </c>
      <c r="F33" s="27"/>
      <c r="G33" s="27"/>
      <c r="H33" s="30" t="str">
        <f>_xlfn.DISPIMG("ID_0AAC7EEFEB494D188ACC9FDDE4490981",1)</f>
        <v>=DISPIMG("ID_0AAC7EEFEB494D188ACC9FDDE4490981",1)</v>
      </c>
      <c r="I33" s="43"/>
    </row>
    <row r="34" s="21" customFormat="1" ht="84" customHeight="1" spans="1:9">
      <c r="A34" s="27">
        <v>32</v>
      </c>
      <c r="B34" s="63" t="s">
        <v>321</v>
      </c>
      <c r="C34" s="27">
        <v>1</v>
      </c>
      <c r="D34" s="63" t="s">
        <v>318</v>
      </c>
      <c r="E34" s="27" t="s">
        <v>286</v>
      </c>
      <c r="F34" s="27"/>
      <c r="G34" s="27"/>
      <c r="H34" s="30" t="str">
        <f>_xlfn.DISPIMG("ID_9F8724DAEA38435C92C80C79F6B10760",1)</f>
        <v>=DISPIMG("ID_9F8724DAEA38435C92C80C79F6B10760",1)</v>
      </c>
      <c r="I34" s="43"/>
    </row>
    <row r="35" s="21" customFormat="1" ht="84" customHeight="1" spans="1:9">
      <c r="A35" s="27">
        <v>33</v>
      </c>
      <c r="B35" s="63" t="s">
        <v>322</v>
      </c>
      <c r="C35" s="27">
        <v>6</v>
      </c>
      <c r="D35" s="63" t="s">
        <v>318</v>
      </c>
      <c r="E35" s="27" t="s">
        <v>323</v>
      </c>
      <c r="F35" s="27"/>
      <c r="G35" s="27"/>
      <c r="H35" s="30" t="str">
        <f>_xlfn.DISPIMG("ID_368AA7CD09C0431AA322DF611C5DD570",1)</f>
        <v>=DISPIMG("ID_368AA7CD09C0431AA322DF611C5DD570",1)</v>
      </c>
      <c r="I35" s="44"/>
    </row>
    <row r="36" s="21" customFormat="1" ht="84" customHeight="1" spans="1:9">
      <c r="A36" s="27">
        <v>34</v>
      </c>
      <c r="B36" s="63" t="s">
        <v>324</v>
      </c>
      <c r="C36" s="27">
        <v>7</v>
      </c>
      <c r="D36" s="63" t="s">
        <v>325</v>
      </c>
      <c r="E36" s="27" t="s">
        <v>326</v>
      </c>
      <c r="F36" s="27"/>
      <c r="G36" s="27"/>
      <c r="H36" s="30" t="str">
        <f>_xlfn.DISPIMG("ID_44A535C03C5F4FA7B4C3CB9936EB46F4",1)</f>
        <v>=DISPIMG("ID_44A535C03C5F4FA7B4C3CB9936EB46F4",1)</v>
      </c>
      <c r="I36" s="42" t="s">
        <v>69</v>
      </c>
    </row>
    <row r="37" s="21" customFormat="1" ht="84" customHeight="1" spans="1:9">
      <c r="A37" s="27">
        <v>35</v>
      </c>
      <c r="B37" s="63" t="s">
        <v>327</v>
      </c>
      <c r="C37" s="27">
        <v>7</v>
      </c>
      <c r="D37" s="63" t="s">
        <v>328</v>
      </c>
      <c r="E37" s="27" t="s">
        <v>326</v>
      </c>
      <c r="F37" s="27"/>
      <c r="G37" s="27"/>
      <c r="H37" s="30" t="str">
        <f>_xlfn.DISPIMG("ID_4B9D21A25CB6443EAA899CEA9FD1732F",1)</f>
        <v>=DISPIMG("ID_4B9D21A25CB6443EAA899CEA9FD1732F",1)</v>
      </c>
      <c r="I37" s="43"/>
    </row>
    <row r="38" s="21" customFormat="1" ht="77.25" customHeight="1" spans="1:9">
      <c r="A38" s="27">
        <v>36</v>
      </c>
      <c r="B38" s="63" t="s">
        <v>329</v>
      </c>
      <c r="C38" s="63">
        <v>14</v>
      </c>
      <c r="D38" s="63" t="s">
        <v>330</v>
      </c>
      <c r="E38" s="63" t="s">
        <v>331</v>
      </c>
      <c r="F38" s="27"/>
      <c r="G38" s="27"/>
      <c r="H38" s="30" t="str">
        <f>_xlfn.DISPIMG("ID_004EA2B446F14A21A7FADC3AFB7E3602",1)</f>
        <v>=DISPIMG("ID_004EA2B446F14A21A7FADC3AFB7E3602",1)</v>
      </c>
      <c r="I38" s="43"/>
    </row>
    <row r="39" s="21" customFormat="1" ht="98" customHeight="1" spans="1:9">
      <c r="A39" s="27">
        <v>37</v>
      </c>
      <c r="B39" s="63" t="s">
        <v>332</v>
      </c>
      <c r="C39" s="27">
        <v>20</v>
      </c>
      <c r="D39" s="63" t="s">
        <v>330</v>
      </c>
      <c r="E39" s="27" t="s">
        <v>270</v>
      </c>
      <c r="F39" s="27"/>
      <c r="G39" s="27"/>
      <c r="H39" s="30"/>
      <c r="I39" s="44"/>
    </row>
    <row r="40" s="21" customFormat="1" ht="84" customHeight="1" spans="1:9">
      <c r="A40" s="27">
        <v>38</v>
      </c>
      <c r="B40" s="63" t="s">
        <v>333</v>
      </c>
      <c r="C40" s="27">
        <v>1</v>
      </c>
      <c r="D40" s="63" t="s">
        <v>334</v>
      </c>
      <c r="E40" s="27" t="s">
        <v>335</v>
      </c>
      <c r="F40" s="27"/>
      <c r="G40" s="27"/>
      <c r="H40" s="30" t="str">
        <f>_xlfn.DISPIMG("ID_C0F1682FC1524086B0BCFEF084540E26",1)</f>
        <v>=DISPIMG("ID_C0F1682FC1524086B0BCFEF084540E26",1)</v>
      </c>
      <c r="I40" s="41" t="s">
        <v>336</v>
      </c>
    </row>
    <row r="41" s="21" customFormat="1" ht="84" customHeight="1" spans="1:9">
      <c r="A41" s="27">
        <v>39</v>
      </c>
      <c r="B41" s="63" t="s">
        <v>337</v>
      </c>
      <c r="C41" s="27">
        <v>4</v>
      </c>
      <c r="D41" s="63" t="s">
        <v>338</v>
      </c>
      <c r="E41" s="63" t="s">
        <v>339</v>
      </c>
      <c r="F41" s="27"/>
      <c r="G41" s="27"/>
      <c r="H41" s="30" t="str">
        <f>_xlfn.DISPIMG("ID_FC38471255F14955A28619EC580552C4",1)</f>
        <v>=DISPIMG("ID_FC38471255F14955A28619EC580552C4",1)</v>
      </c>
      <c r="I41" s="42" t="s">
        <v>189</v>
      </c>
    </row>
    <row r="42" s="21" customFormat="1" ht="81" customHeight="1" spans="1:9">
      <c r="A42" s="27">
        <v>40</v>
      </c>
      <c r="B42" s="27" t="s">
        <v>70</v>
      </c>
      <c r="C42" s="27">
        <v>2</v>
      </c>
      <c r="D42" s="63" t="s">
        <v>340</v>
      </c>
      <c r="E42" s="27" t="s">
        <v>270</v>
      </c>
      <c r="F42" s="27"/>
      <c r="G42" s="27"/>
      <c r="H42" s="30"/>
      <c r="I42" s="43"/>
    </row>
    <row r="43" s="21" customFormat="1" ht="64.5" customHeight="1" spans="1:9">
      <c r="A43" s="27">
        <v>41</v>
      </c>
      <c r="B43" s="63" t="s">
        <v>341</v>
      </c>
      <c r="C43" s="63">
        <v>4</v>
      </c>
      <c r="D43" s="63" t="s">
        <v>340</v>
      </c>
      <c r="E43" s="63" t="s">
        <v>342</v>
      </c>
      <c r="F43" s="27"/>
      <c r="G43" s="27"/>
      <c r="H43" s="30" t="str">
        <f>_xlfn.DISPIMG("ID_B2879DB259E24B38BD9A75AF9A8F1CCE",1)</f>
        <v>=DISPIMG("ID_B2879DB259E24B38BD9A75AF9A8F1CCE",1)</v>
      </c>
      <c r="I43" s="44"/>
    </row>
    <row r="44" s="21" customFormat="1" ht="84" customHeight="1" spans="1:9">
      <c r="A44" s="27">
        <v>42</v>
      </c>
      <c r="B44" s="63" t="s">
        <v>343</v>
      </c>
      <c r="C44" s="27">
        <v>3</v>
      </c>
      <c r="D44" s="63" t="s">
        <v>344</v>
      </c>
      <c r="E44" s="63" t="s">
        <v>345</v>
      </c>
      <c r="F44" s="27"/>
      <c r="G44" s="27"/>
      <c r="H44" s="30" t="str">
        <f>_xlfn.DISPIMG("ID_5467522DCCFF4FBBB124E5C8BADB9A3F",1)</f>
        <v>=DISPIMG("ID_5467522DCCFF4FBBB124E5C8BADB9A3F",1)</v>
      </c>
      <c r="I44" s="41" t="s">
        <v>346</v>
      </c>
    </row>
    <row r="45" s="21" customFormat="1" ht="98.7" customHeight="1" spans="1:9">
      <c r="A45" s="27">
        <v>43</v>
      </c>
      <c r="B45" s="63" t="s">
        <v>347</v>
      </c>
      <c r="C45" s="27">
        <v>6</v>
      </c>
      <c r="D45" s="63" t="s">
        <v>348</v>
      </c>
      <c r="E45" s="63" t="s">
        <v>349</v>
      </c>
      <c r="F45" s="27"/>
      <c r="G45" s="27"/>
      <c r="H45" s="30" t="str">
        <f>_xlfn.DISPIMG("ID_A8AB783F5E57484BA5EB61E4DED78F3C",1)</f>
        <v>=DISPIMG("ID_A8AB783F5E57484BA5EB61E4DED78F3C",1)</v>
      </c>
      <c r="I45" s="41" t="s">
        <v>189</v>
      </c>
    </row>
    <row r="46" s="21" customFormat="1" ht="84" customHeight="1" spans="1:9">
      <c r="A46" s="27">
        <v>44</v>
      </c>
      <c r="B46" s="63" t="s">
        <v>350</v>
      </c>
      <c r="C46" s="27">
        <v>1</v>
      </c>
      <c r="D46" s="63" t="s">
        <v>351</v>
      </c>
      <c r="E46" s="27" t="s">
        <v>286</v>
      </c>
      <c r="F46" s="27"/>
      <c r="G46" s="27"/>
      <c r="H46" s="30" t="str">
        <f>_xlfn.DISPIMG("ID_95848B0FD85D490F8791937ED3D2060B",1)</f>
        <v>=DISPIMG("ID_95848B0FD85D490F8791937ED3D2060B",1)</v>
      </c>
      <c r="I46" s="42" t="s">
        <v>346</v>
      </c>
    </row>
    <row r="47" s="21" customFormat="1" ht="84" customHeight="1" spans="1:9">
      <c r="A47" s="27">
        <v>45</v>
      </c>
      <c r="B47" s="63" t="s">
        <v>350</v>
      </c>
      <c r="C47" s="27">
        <v>1</v>
      </c>
      <c r="D47" s="63" t="s">
        <v>351</v>
      </c>
      <c r="E47" s="27" t="s">
        <v>286</v>
      </c>
      <c r="F47" s="27"/>
      <c r="G47" s="27"/>
      <c r="H47" s="30" t="str">
        <f>_xlfn.DISPIMG("ID_28C46EF1D3DB47EFB79D4C72070A8C5A",1)</f>
        <v>=DISPIMG("ID_28C46EF1D3DB47EFB79D4C72070A8C5A",1)</v>
      </c>
      <c r="I47" s="43"/>
    </row>
    <row r="48" s="21" customFormat="1" ht="84" customHeight="1" spans="1:9">
      <c r="A48" s="27">
        <v>46</v>
      </c>
      <c r="B48" s="63" t="s">
        <v>350</v>
      </c>
      <c r="C48" s="27">
        <v>1</v>
      </c>
      <c r="D48" s="63" t="s">
        <v>351</v>
      </c>
      <c r="E48" s="27" t="s">
        <v>286</v>
      </c>
      <c r="F48" s="27"/>
      <c r="G48" s="27"/>
      <c r="H48" s="30" t="str">
        <f>_xlfn.DISPIMG("ID_A7DB65E7C75042C3ADBC679BD129D860",1)</f>
        <v>=DISPIMG("ID_A7DB65E7C75042C3ADBC679BD129D860",1)</v>
      </c>
      <c r="I48" s="43"/>
    </row>
    <row r="49" s="21" customFormat="1" ht="84" customHeight="1" spans="1:9">
      <c r="A49" s="27">
        <v>47</v>
      </c>
      <c r="B49" s="63" t="s">
        <v>350</v>
      </c>
      <c r="C49" s="27">
        <v>1</v>
      </c>
      <c r="D49" s="63" t="s">
        <v>351</v>
      </c>
      <c r="E49" s="27" t="s">
        <v>286</v>
      </c>
      <c r="F49" s="27"/>
      <c r="G49" s="27"/>
      <c r="H49" s="30" t="str">
        <f>_xlfn.DISPIMG("ID_E48418AF56C64A0298B91F501423ADBB",1)</f>
        <v>=DISPIMG("ID_E48418AF56C64A0298B91F501423ADBB",1)</v>
      </c>
      <c r="I49" s="44"/>
    </row>
    <row r="50" s="21" customFormat="1" ht="84" customHeight="1" spans="1:9">
      <c r="A50" s="27">
        <v>48</v>
      </c>
      <c r="B50" s="63" t="s">
        <v>132</v>
      </c>
      <c r="C50" s="27">
        <v>5</v>
      </c>
      <c r="D50" s="63" t="s">
        <v>352</v>
      </c>
      <c r="E50" s="63" t="s">
        <v>353</v>
      </c>
      <c r="F50" s="27"/>
      <c r="G50" s="27"/>
      <c r="H50" s="30" t="str">
        <f>_xlfn.DISPIMG("ID_016CFDBCDA364065B42767038F787DCD",1)</f>
        <v>=DISPIMG("ID_016CFDBCDA364065B42767038F787DCD",1)</v>
      </c>
      <c r="I50" s="42" t="s">
        <v>39</v>
      </c>
    </row>
    <row r="51" s="21" customFormat="1" ht="69.75" customHeight="1" spans="1:9">
      <c r="A51" s="27">
        <v>49</v>
      </c>
      <c r="B51" s="63" t="s">
        <v>77</v>
      </c>
      <c r="C51" s="63">
        <v>2</v>
      </c>
      <c r="D51" s="63" t="s">
        <v>354</v>
      </c>
      <c r="E51" s="63" t="s">
        <v>355</v>
      </c>
      <c r="F51" s="27"/>
      <c r="G51" s="27"/>
      <c r="H51" s="30" t="str">
        <f>_xlfn.DISPIMG("ID_2E3D47B9A598454F8F7FCEF030B13125",1)</f>
        <v>=DISPIMG("ID_2E3D47B9A598454F8F7FCEF030B13125",1)</v>
      </c>
      <c r="I51" s="43"/>
    </row>
    <row r="52" s="21" customFormat="1" ht="84" customHeight="1" spans="1:9">
      <c r="A52" s="27">
        <v>50</v>
      </c>
      <c r="B52" s="63" t="s">
        <v>356</v>
      </c>
      <c r="C52" s="27">
        <v>3</v>
      </c>
      <c r="D52" s="63" t="s">
        <v>357</v>
      </c>
      <c r="E52" s="27" t="s">
        <v>358</v>
      </c>
      <c r="F52" s="27"/>
      <c r="G52" s="27"/>
      <c r="H52" s="30" t="str">
        <f>_xlfn.DISPIMG("ID_404B7DBD0389477485B1D2A876C4A632",1)</f>
        <v>=DISPIMG("ID_404B7DBD0389477485B1D2A876C4A632",1)</v>
      </c>
      <c r="I52" s="43"/>
    </row>
    <row r="53" s="21" customFormat="1" ht="60" customHeight="1" spans="1:9">
      <c r="A53" s="27">
        <v>51</v>
      </c>
      <c r="B53" s="63" t="s">
        <v>359</v>
      </c>
      <c r="C53" s="63">
        <v>11</v>
      </c>
      <c r="D53" s="63" t="s">
        <v>360</v>
      </c>
      <c r="E53" s="63" t="s">
        <v>361</v>
      </c>
      <c r="F53" s="27"/>
      <c r="G53" s="27"/>
      <c r="H53" s="30" t="str">
        <f>_xlfn.DISPIMG("ID_865F380BBFFF498AA52E5D7D47DE37CE",1)</f>
        <v>=DISPIMG("ID_865F380BBFFF498AA52E5D7D47DE37CE",1)</v>
      </c>
      <c r="I53" s="43"/>
    </row>
    <row r="54" s="21" customFormat="1" ht="63" customHeight="1" spans="1:9">
      <c r="A54" s="27">
        <v>52</v>
      </c>
      <c r="B54" s="27" t="s">
        <v>359</v>
      </c>
      <c r="C54" s="27">
        <v>2</v>
      </c>
      <c r="D54" s="63" t="s">
        <v>362</v>
      </c>
      <c r="E54" s="27" t="s">
        <v>270</v>
      </c>
      <c r="F54" s="27"/>
      <c r="G54" s="27"/>
      <c r="H54" s="99"/>
      <c r="I54" s="44"/>
    </row>
    <row r="55" s="21" customFormat="1" ht="84" customHeight="1" spans="1:9">
      <c r="A55" s="27">
        <v>53</v>
      </c>
      <c r="B55" s="63" t="s">
        <v>363</v>
      </c>
      <c r="C55" s="27">
        <v>2</v>
      </c>
      <c r="D55" s="63" t="s">
        <v>338</v>
      </c>
      <c r="E55" s="27" t="s">
        <v>364</v>
      </c>
      <c r="F55" s="27"/>
      <c r="G55" s="27"/>
      <c r="H55" s="30" t="str">
        <f>_xlfn.DISPIMG("ID_E23B0F29B87E418BA0A3968EE85B1DAE",1)</f>
        <v>=DISPIMG("ID_E23B0F29B87E418BA0A3968EE85B1DAE",1)</v>
      </c>
      <c r="I55" s="41" t="s">
        <v>189</v>
      </c>
    </row>
    <row r="56" s="21" customFormat="1" ht="84" customHeight="1" spans="1:9">
      <c r="A56" s="27">
        <v>54</v>
      </c>
      <c r="B56" s="63" t="s">
        <v>74</v>
      </c>
      <c r="C56" s="27">
        <v>2</v>
      </c>
      <c r="D56" s="63" t="s">
        <v>362</v>
      </c>
      <c r="E56" s="27" t="s">
        <v>364</v>
      </c>
      <c r="F56" s="27"/>
      <c r="G56" s="27"/>
      <c r="H56" s="30" t="str">
        <f>_xlfn.DISPIMG("ID_CFB4E25B0FCC405E9B28F866B3F03C2B",1)</f>
        <v>=DISPIMG("ID_CFB4E25B0FCC405E9B28F866B3F03C2B",1)</v>
      </c>
      <c r="I56" s="41" t="s">
        <v>39</v>
      </c>
    </row>
    <row r="57" s="21" customFormat="1" ht="77" customHeight="1" spans="1:9">
      <c r="A57" s="27">
        <v>55</v>
      </c>
      <c r="B57" s="27" t="s">
        <v>74</v>
      </c>
      <c r="C57" s="27">
        <v>1</v>
      </c>
      <c r="D57" s="63" t="s">
        <v>360</v>
      </c>
      <c r="E57" s="27" t="s">
        <v>270</v>
      </c>
      <c r="F57" s="27"/>
      <c r="G57" s="27"/>
      <c r="H57" s="30" t="str">
        <f>_xlfn.DISPIMG("ID_CFB4E25B0FCC405E9B28F866B3F03C2B",1)</f>
        <v>=DISPIMG("ID_CFB4E25B0FCC405E9B28F866B3F03C2B",1)</v>
      </c>
      <c r="I57" s="41" t="s">
        <v>39</v>
      </c>
    </row>
    <row r="58" s="21" customFormat="1" ht="84" customHeight="1" spans="1:9">
      <c r="A58" s="27">
        <v>56</v>
      </c>
      <c r="B58" s="63" t="s">
        <v>365</v>
      </c>
      <c r="C58" s="27">
        <v>30</v>
      </c>
      <c r="D58" s="63" t="s">
        <v>366</v>
      </c>
      <c r="E58" s="63" t="s">
        <v>367</v>
      </c>
      <c r="F58" s="27"/>
      <c r="G58" s="27"/>
      <c r="H58" s="30" t="str">
        <f>_xlfn.DISPIMG("ID_C2CE63E624394642B259C07D34C116B8",1)</f>
        <v>=DISPIMG("ID_C2CE63E624394642B259C07D34C116B8",1)</v>
      </c>
      <c r="I58" s="42" t="s">
        <v>189</v>
      </c>
    </row>
    <row r="59" s="21" customFormat="1" ht="72.75" customHeight="1" spans="1:9">
      <c r="A59" s="27">
        <v>57</v>
      </c>
      <c r="B59" s="63" t="s">
        <v>84</v>
      </c>
      <c r="C59" s="27">
        <v>11</v>
      </c>
      <c r="D59" s="63" t="s">
        <v>368</v>
      </c>
      <c r="E59" s="63" t="s">
        <v>369</v>
      </c>
      <c r="F59" s="27"/>
      <c r="G59" s="27"/>
      <c r="H59" s="30" t="str">
        <f>_xlfn.DISPIMG("ID_0B883C340A0645C89DDC169EBA63FCD7",1)</f>
        <v>=DISPIMG("ID_0B883C340A0645C89DDC169EBA63FCD7",1)</v>
      </c>
      <c r="I59" s="43"/>
    </row>
    <row r="60" s="21" customFormat="1" ht="54" customHeight="1" spans="1:9">
      <c r="A60" s="27">
        <v>58</v>
      </c>
      <c r="B60" s="63" t="s">
        <v>370</v>
      </c>
      <c r="C60" s="63">
        <v>2</v>
      </c>
      <c r="D60" s="63" t="s">
        <v>371</v>
      </c>
      <c r="E60" s="63" t="s">
        <v>372</v>
      </c>
      <c r="F60" s="27"/>
      <c r="G60" s="27"/>
      <c r="H60" s="84" t="str">
        <f>_xlfn.DISPIMG("ID_2B6279E5B49D45E6B26609C3C8522EA5",1)</f>
        <v>=DISPIMG("ID_2B6279E5B49D45E6B26609C3C8522EA5",1)</v>
      </c>
      <c r="I60" s="43"/>
    </row>
    <row r="61" s="21" customFormat="1" ht="81.75" customHeight="1" spans="1:9">
      <c r="A61" s="27">
        <v>59</v>
      </c>
      <c r="B61" s="63" t="s">
        <v>59</v>
      </c>
      <c r="C61" s="63">
        <v>11</v>
      </c>
      <c r="D61" s="63" t="s">
        <v>373</v>
      </c>
      <c r="E61" s="63" t="s">
        <v>374</v>
      </c>
      <c r="F61" s="27"/>
      <c r="G61" s="27"/>
      <c r="H61" s="84" t="str">
        <f>_xlfn.DISPIMG("ID_BD7024E84F4E4ECFBBA6A3E34A5A7C64",1)</f>
        <v>=DISPIMG("ID_BD7024E84F4E4ECFBBA6A3E34A5A7C64",1)</v>
      </c>
      <c r="I61" s="44"/>
    </row>
    <row r="62" s="21" customFormat="1" ht="59.25" customHeight="1" spans="1:9">
      <c r="A62" s="27">
        <v>60</v>
      </c>
      <c r="B62" s="63" t="s">
        <v>375</v>
      </c>
      <c r="C62" s="63">
        <v>2</v>
      </c>
      <c r="D62" s="63" t="s">
        <v>376</v>
      </c>
      <c r="E62" s="63" t="s">
        <v>377</v>
      </c>
      <c r="F62" s="27"/>
      <c r="G62" s="27"/>
      <c r="H62" s="30" t="str">
        <f>_xlfn.DISPIMG("ID_7B808664BE81421094696FAABA2EFEED",1)</f>
        <v>=DISPIMG("ID_7B808664BE81421094696FAABA2EFEED",1)</v>
      </c>
      <c r="I62" s="41" t="s">
        <v>215</v>
      </c>
    </row>
    <row r="63" s="21" customFormat="1" ht="74.35" spans="1:9">
      <c r="A63" s="27">
        <v>61</v>
      </c>
      <c r="B63" s="63" t="s">
        <v>46</v>
      </c>
      <c r="C63" s="63">
        <v>15</v>
      </c>
      <c r="D63" s="63" t="s">
        <v>378</v>
      </c>
      <c r="E63" s="63" t="s">
        <v>379</v>
      </c>
      <c r="F63" s="27"/>
      <c r="G63" s="27"/>
      <c r="H63" s="30" t="str">
        <f>_xlfn.DISPIMG("ID_BEB2B82D63154030A0FC10E7CEC61049",1)</f>
        <v>=DISPIMG("ID_BEB2B82D63154030A0FC10E7CEC61049",1)</v>
      </c>
      <c r="I63" s="42" t="s">
        <v>61</v>
      </c>
    </row>
    <row r="64" s="21" customFormat="1" ht="84.75" customHeight="1" spans="1:9">
      <c r="A64" s="27">
        <v>62</v>
      </c>
      <c r="B64" s="63" t="s">
        <v>46</v>
      </c>
      <c r="C64" s="63">
        <v>2</v>
      </c>
      <c r="D64" s="63" t="s">
        <v>380</v>
      </c>
      <c r="E64" s="63" t="s">
        <v>379</v>
      </c>
      <c r="F64" s="27"/>
      <c r="G64" s="27"/>
      <c r="H64" s="30" t="str">
        <f>_xlfn.DISPIMG("ID_5A55C84BF13D40DA8772580F7C945063",1)</f>
        <v>=DISPIMG("ID_5A55C84BF13D40DA8772580F7C945063",1)</v>
      </c>
      <c r="I64" s="44"/>
    </row>
    <row r="65" s="21" customFormat="1" ht="81" customHeight="1" spans="1:9">
      <c r="A65" s="27">
        <v>63</v>
      </c>
      <c r="B65" s="63" t="s">
        <v>381</v>
      </c>
      <c r="C65" s="63">
        <v>2</v>
      </c>
      <c r="D65" s="63" t="s">
        <v>382</v>
      </c>
      <c r="E65" s="63" t="s">
        <v>383</v>
      </c>
      <c r="F65" s="27"/>
      <c r="G65" s="27"/>
      <c r="H65" s="30" t="str">
        <f>_xlfn.DISPIMG("ID_7D9665FA437346EFB2EE2A7A9BDA213E",1)</f>
        <v>=DISPIMG("ID_7D9665FA437346EFB2EE2A7A9BDA213E",1)</v>
      </c>
      <c r="I65" s="42" t="s">
        <v>189</v>
      </c>
    </row>
    <row r="66" s="21" customFormat="1" ht="65.25" customHeight="1" spans="1:9">
      <c r="A66" s="27">
        <v>64</v>
      </c>
      <c r="B66" s="63" t="s">
        <v>384</v>
      </c>
      <c r="C66" s="63">
        <v>2</v>
      </c>
      <c r="D66" s="63" t="s">
        <v>382</v>
      </c>
      <c r="E66" s="63" t="s">
        <v>385</v>
      </c>
      <c r="F66" s="27"/>
      <c r="G66" s="27"/>
      <c r="H66" s="30" t="str">
        <f>_xlfn.DISPIMG("ID_F49A0F8304874B00AFF7518DD9A065A9",1)</f>
        <v>=DISPIMG("ID_F49A0F8304874B00AFF7518DD9A065A9",1)</v>
      </c>
      <c r="I66" s="44"/>
    </row>
    <row r="67" s="21" customFormat="1" ht="57" customHeight="1" spans="1:9">
      <c r="A67" s="27">
        <v>65</v>
      </c>
      <c r="B67" s="63" t="s">
        <v>386</v>
      </c>
      <c r="C67" s="63">
        <v>2</v>
      </c>
      <c r="D67" s="63" t="s">
        <v>387</v>
      </c>
      <c r="E67" s="63" t="s">
        <v>388</v>
      </c>
      <c r="F67" s="27"/>
      <c r="G67" s="27"/>
      <c r="H67" s="30" t="str">
        <f>_xlfn.DISPIMG("ID_487EEEF6F40F44C0BBF72698C69F05F8",1)</f>
        <v>=DISPIMG("ID_487EEEF6F40F44C0BBF72698C69F05F8",1)</v>
      </c>
      <c r="I67" s="41" t="s">
        <v>39</v>
      </c>
    </row>
    <row r="68" s="21" customFormat="1" ht="56.25" customHeight="1" spans="1:9">
      <c r="A68" s="27">
        <v>66</v>
      </c>
      <c r="B68" s="63" t="s">
        <v>389</v>
      </c>
      <c r="C68" s="63">
        <v>4</v>
      </c>
      <c r="D68" s="63" t="s">
        <v>390</v>
      </c>
      <c r="E68" s="63" t="s">
        <v>391</v>
      </c>
      <c r="F68" s="27"/>
      <c r="G68" s="27"/>
      <c r="H68" s="30" t="str">
        <f>_xlfn.DISPIMG("ID_8D38B6D2EC684858B244C17EC8F9C0C6",1)</f>
        <v>=DISPIMG("ID_8D38B6D2EC684858B244C17EC8F9C0C6",1)</v>
      </c>
      <c r="I68" s="41" t="s">
        <v>61</v>
      </c>
    </row>
    <row r="69" s="21" customFormat="1" ht="88.15" spans="1:9">
      <c r="A69" s="27">
        <v>67</v>
      </c>
      <c r="B69" s="27" t="s">
        <v>392</v>
      </c>
      <c r="C69" s="27">
        <v>5</v>
      </c>
      <c r="D69" s="63" t="s">
        <v>393</v>
      </c>
      <c r="E69" s="27" t="s">
        <v>270</v>
      </c>
      <c r="F69" s="27"/>
      <c r="G69" s="27"/>
      <c r="H69" s="30"/>
      <c r="I69" s="41" t="s">
        <v>394</v>
      </c>
    </row>
    <row r="70" s="21" customFormat="1" ht="125" customHeight="1" spans="1:9">
      <c r="A70" s="27">
        <v>68</v>
      </c>
      <c r="B70" s="63" t="s">
        <v>395</v>
      </c>
      <c r="C70" s="27">
        <v>1</v>
      </c>
      <c r="D70" s="27" t="s">
        <v>396</v>
      </c>
      <c r="E70" s="27" t="s">
        <v>397</v>
      </c>
      <c r="F70" s="27"/>
      <c r="G70" s="27"/>
      <c r="H70" s="30"/>
      <c r="I70" s="41" t="s">
        <v>398</v>
      </c>
    </row>
    <row r="71" s="21" customFormat="1" ht="113" customHeight="1" spans="1:9">
      <c r="A71" s="27">
        <v>69</v>
      </c>
      <c r="B71" s="63" t="s">
        <v>399</v>
      </c>
      <c r="C71" s="27">
        <v>1</v>
      </c>
      <c r="D71" s="27" t="s">
        <v>400</v>
      </c>
      <c r="E71" s="27" t="s">
        <v>401</v>
      </c>
      <c r="F71" s="27"/>
      <c r="G71" s="27"/>
      <c r="H71" s="30"/>
      <c r="I71" s="41" t="s">
        <v>398</v>
      </c>
    </row>
    <row r="72" s="21" customFormat="1" ht="129" customHeight="1" spans="1:9">
      <c r="A72" s="27">
        <v>70</v>
      </c>
      <c r="B72" s="63" t="s">
        <v>402</v>
      </c>
      <c r="C72" s="27">
        <v>6</v>
      </c>
      <c r="D72" s="27" t="s">
        <v>403</v>
      </c>
      <c r="E72" s="27" t="s">
        <v>404</v>
      </c>
      <c r="F72" s="27"/>
      <c r="G72" s="27"/>
      <c r="H72" s="30"/>
      <c r="I72" s="41" t="s">
        <v>405</v>
      </c>
    </row>
    <row r="73" s="21" customFormat="1" spans="1:9">
      <c r="A73" s="26" t="s">
        <v>5</v>
      </c>
      <c r="B73" s="70"/>
      <c r="C73" s="71"/>
      <c r="D73" s="71"/>
      <c r="E73" s="71"/>
      <c r="F73" s="71"/>
      <c r="G73" s="71"/>
      <c r="H73" s="71"/>
      <c r="I73" s="45"/>
    </row>
  </sheetData>
  <mergeCells count="12">
    <mergeCell ref="A1:I1"/>
    <mergeCell ref="B73:I73"/>
    <mergeCell ref="I20:I26"/>
    <mergeCell ref="I27:I29"/>
    <mergeCell ref="I30:I35"/>
    <mergeCell ref="I36:I39"/>
    <mergeCell ref="I41:I43"/>
    <mergeCell ref="I46:I49"/>
    <mergeCell ref="I50:I54"/>
    <mergeCell ref="I58:I61"/>
    <mergeCell ref="I63:I64"/>
    <mergeCell ref="I65:I66"/>
  </mergeCells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7"/>
  <sheetViews>
    <sheetView workbookViewId="0">
      <selection activeCell="G2" sqref="G2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2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24" t="s">
        <v>406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27" t="s">
        <v>407</v>
      </c>
      <c r="C3" s="27">
        <v>1</v>
      </c>
      <c r="D3" s="27" t="s">
        <v>408</v>
      </c>
      <c r="E3" s="27" t="s">
        <v>409</v>
      </c>
      <c r="F3" s="27"/>
      <c r="G3" s="27"/>
      <c r="H3" s="30" t="str">
        <f>_xlfn.DISPIMG("ID_1990FF6154EA43E29649C2A3504A4C29",1)</f>
        <v>=DISPIMG("ID_1990FF6154EA43E29649C2A3504A4C29",1)</v>
      </c>
      <c r="I3" s="41" t="s">
        <v>410</v>
      </c>
    </row>
    <row r="4" s="21" customFormat="1" ht="84" customHeight="1" spans="1:9">
      <c r="A4" s="27">
        <v>2</v>
      </c>
      <c r="B4" s="27" t="s">
        <v>411</v>
      </c>
      <c r="C4" s="27">
        <v>1</v>
      </c>
      <c r="D4" s="27" t="s">
        <v>412</v>
      </c>
      <c r="E4" s="27" t="s">
        <v>409</v>
      </c>
      <c r="F4" s="27"/>
      <c r="G4" s="27"/>
      <c r="H4" s="30" t="str">
        <f>_xlfn.DISPIMG("ID_E289F6EF75014D1CA0750F69D06B7DD7",1)</f>
        <v>=DISPIMG("ID_E289F6EF75014D1CA0750F69D06B7DD7",1)</v>
      </c>
      <c r="I4" s="41" t="s">
        <v>413</v>
      </c>
    </row>
    <row r="5" s="21" customFormat="1" ht="84" customHeight="1" spans="1:9">
      <c r="A5" s="27">
        <v>3</v>
      </c>
      <c r="B5" s="27" t="s">
        <v>414</v>
      </c>
      <c r="C5" s="27">
        <v>24</v>
      </c>
      <c r="D5" s="27" t="s">
        <v>415</v>
      </c>
      <c r="E5" s="27" t="s">
        <v>416</v>
      </c>
      <c r="F5" s="27"/>
      <c r="G5" s="27"/>
      <c r="H5" s="30" t="str">
        <f>_xlfn.DISPIMG("ID_298BACF22B92420BAF9D8235F8EBE045",1)</f>
        <v>=DISPIMG("ID_298BACF22B92420BAF9D8235F8EBE045",1)</v>
      </c>
      <c r="I5" s="41" t="s">
        <v>417</v>
      </c>
    </row>
    <row r="6" s="21" customFormat="1" ht="25" customHeight="1" spans="1:9">
      <c r="A6" s="26" t="s">
        <v>86</v>
      </c>
      <c r="B6" s="27"/>
      <c r="C6" s="27"/>
      <c r="D6" s="27"/>
      <c r="E6" s="27"/>
      <c r="F6" s="27"/>
      <c r="G6" s="27"/>
      <c r="H6" s="27"/>
      <c r="I6" s="63"/>
    </row>
    <row r="7" s="21" customFormat="1" spans="1:9">
      <c r="A7" s="37"/>
      <c r="B7" s="37"/>
      <c r="C7" s="37"/>
      <c r="D7" s="37"/>
      <c r="E7" s="37"/>
      <c r="F7" s="37"/>
      <c r="G7" s="37"/>
      <c r="H7" s="38"/>
      <c r="I7" s="23"/>
    </row>
    <row r="8" s="21" customFormat="1" spans="1:9">
      <c r="A8" s="37"/>
      <c r="B8" s="37"/>
      <c r="C8" s="37"/>
      <c r="D8" s="37"/>
      <c r="E8" s="37"/>
      <c r="F8" s="37"/>
      <c r="G8" s="37"/>
      <c r="H8" s="38"/>
      <c r="I8" s="23"/>
    </row>
    <row r="9" s="21" customFormat="1" spans="1:9">
      <c r="A9" s="37"/>
      <c r="B9" s="37"/>
      <c r="C9" s="37"/>
      <c r="D9" s="37"/>
      <c r="E9" s="37"/>
      <c r="F9" s="37"/>
      <c r="G9" s="37"/>
      <c r="H9" s="38"/>
      <c r="I9" s="23"/>
    </row>
    <row r="10" s="21" customFormat="1" spans="1:9">
      <c r="A10" s="37"/>
      <c r="B10" s="37"/>
      <c r="C10" s="37"/>
      <c r="D10" s="37"/>
      <c r="E10" s="37"/>
      <c r="F10" s="37"/>
      <c r="G10" s="37"/>
      <c r="H10" s="38"/>
      <c r="I10" s="23"/>
    </row>
    <row r="11" s="21" customFormat="1" spans="1:9">
      <c r="A11" s="37"/>
      <c r="B11" s="37"/>
      <c r="C11" s="37"/>
      <c r="D11" s="37"/>
      <c r="E11" s="37"/>
      <c r="F11" s="37"/>
      <c r="G11" s="37"/>
      <c r="H11" s="38"/>
      <c r="I11" s="23"/>
    </row>
    <row r="12" s="21" customFormat="1" spans="1:9">
      <c r="A12" s="37"/>
      <c r="B12" s="37"/>
      <c r="C12" s="37"/>
      <c r="D12" s="37"/>
      <c r="E12" s="37"/>
      <c r="F12" s="37"/>
      <c r="G12" s="37"/>
      <c r="H12" s="38"/>
      <c r="I12" s="23"/>
    </row>
    <row r="13" s="21" customFormat="1" spans="1:9">
      <c r="A13" s="37"/>
      <c r="B13" s="37"/>
      <c r="C13" s="37"/>
      <c r="D13" s="37"/>
      <c r="E13" s="37"/>
      <c r="F13" s="37"/>
      <c r="G13" s="37"/>
      <c r="H13" s="38"/>
      <c r="I13" s="23"/>
    </row>
    <row r="14" s="21" customFormat="1" spans="1:9">
      <c r="A14" s="37"/>
      <c r="B14" s="37"/>
      <c r="C14" s="37"/>
      <c r="D14" s="37"/>
      <c r="E14" s="37"/>
      <c r="F14" s="37"/>
      <c r="G14" s="37"/>
      <c r="H14" s="38"/>
      <c r="I14" s="23"/>
    </row>
    <row r="15" s="21" customFormat="1" spans="1:9">
      <c r="A15" s="37"/>
      <c r="B15" s="37"/>
      <c r="C15" s="37"/>
      <c r="D15" s="37"/>
      <c r="E15" s="37"/>
      <c r="F15" s="37"/>
      <c r="G15" s="37"/>
      <c r="H15" s="38"/>
      <c r="I15" s="23"/>
    </row>
    <row r="16" s="21" customFormat="1" spans="1:9">
      <c r="A16" s="37"/>
      <c r="B16" s="37"/>
      <c r="C16" s="37"/>
      <c r="D16" s="37"/>
      <c r="E16" s="37"/>
      <c r="F16" s="37"/>
      <c r="G16" s="37"/>
      <c r="H16" s="38"/>
      <c r="I16" s="23"/>
    </row>
    <row r="17" s="21" customFormat="1" spans="1:9">
      <c r="A17" s="37"/>
      <c r="B17" s="37"/>
      <c r="C17" s="37"/>
      <c r="D17" s="37"/>
      <c r="E17" s="37"/>
      <c r="F17" s="37"/>
      <c r="G17" s="37"/>
      <c r="H17" s="38"/>
      <c r="I17" s="23"/>
    </row>
    <row r="18" s="21" customFormat="1" spans="1:9">
      <c r="A18" s="37"/>
      <c r="B18" s="37"/>
      <c r="C18" s="37"/>
      <c r="D18" s="37"/>
      <c r="E18" s="37"/>
      <c r="F18" s="37"/>
      <c r="G18" s="37"/>
      <c r="H18" s="38"/>
      <c r="I18" s="23"/>
    </row>
    <row r="19" s="21" customFormat="1" spans="1:9">
      <c r="A19" s="37"/>
      <c r="B19" s="37"/>
      <c r="C19" s="37"/>
      <c r="D19" s="37"/>
      <c r="E19" s="37"/>
      <c r="F19" s="37"/>
      <c r="G19" s="37"/>
      <c r="H19" s="38"/>
      <c r="I19" s="23"/>
    </row>
    <row r="20" s="21" customFormat="1" spans="1:9">
      <c r="A20" s="37"/>
      <c r="B20" s="37"/>
      <c r="C20" s="37"/>
      <c r="D20" s="37"/>
      <c r="E20" s="37"/>
      <c r="F20" s="37"/>
      <c r="G20" s="37"/>
      <c r="H20" s="38"/>
      <c r="I20" s="23"/>
    </row>
    <row r="21" s="21" customFormat="1" spans="1:9">
      <c r="A21" s="37"/>
      <c r="B21" s="37"/>
      <c r="C21" s="37"/>
      <c r="D21" s="37"/>
      <c r="E21" s="37"/>
      <c r="F21" s="37"/>
      <c r="G21" s="37"/>
      <c r="H21" s="38"/>
      <c r="I21" s="23"/>
    </row>
    <row r="22" s="21" customFormat="1" spans="1:9">
      <c r="A22" s="37"/>
      <c r="B22" s="37"/>
      <c r="C22" s="37"/>
      <c r="D22" s="37"/>
      <c r="E22" s="37"/>
      <c r="F22" s="37"/>
      <c r="G22" s="37"/>
      <c r="H22" s="38"/>
      <c r="I22" s="23"/>
    </row>
    <row r="23" s="21" customFormat="1" spans="1:9">
      <c r="A23" s="37"/>
      <c r="B23" s="37"/>
      <c r="C23" s="37"/>
      <c r="D23" s="37"/>
      <c r="E23" s="37"/>
      <c r="F23" s="37"/>
      <c r="G23" s="37"/>
      <c r="H23" s="38"/>
      <c r="I23" s="23"/>
    </row>
    <row r="24" s="21" customFormat="1" spans="1:9">
      <c r="A24" s="37"/>
      <c r="B24" s="37"/>
      <c r="C24" s="37"/>
      <c r="D24" s="37"/>
      <c r="E24" s="37"/>
      <c r="F24" s="37"/>
      <c r="G24" s="37"/>
      <c r="H24" s="38"/>
      <c r="I24" s="23"/>
    </row>
    <row r="25" s="21" customFormat="1" spans="1:9">
      <c r="A25" s="37"/>
      <c r="B25" s="37"/>
      <c r="C25" s="37"/>
      <c r="D25" s="37"/>
      <c r="E25" s="37"/>
      <c r="F25" s="37"/>
      <c r="G25" s="37"/>
      <c r="H25" s="38"/>
      <c r="I25" s="23"/>
    </row>
    <row r="26" s="21" customFormat="1" spans="1:9">
      <c r="A26" s="37"/>
      <c r="B26" s="37"/>
      <c r="C26" s="37"/>
      <c r="D26" s="37"/>
      <c r="E26" s="37"/>
      <c r="F26" s="37"/>
      <c r="G26" s="37"/>
      <c r="H26" s="38"/>
      <c r="I26" s="23"/>
    </row>
    <row r="27" s="21" customFormat="1" spans="1:9">
      <c r="A27" s="22"/>
      <c r="B27" s="22"/>
      <c r="C27" s="22"/>
      <c r="D27" s="22"/>
      <c r="E27" s="22"/>
      <c r="F27" s="22"/>
      <c r="G27" s="22"/>
      <c r="I27" s="23"/>
    </row>
    <row r="28" s="21" customFormat="1" spans="1:9">
      <c r="A28" s="22"/>
      <c r="B28" s="22"/>
      <c r="C28" s="22"/>
      <c r="D28" s="22"/>
      <c r="E28" s="22"/>
      <c r="F28" s="22"/>
      <c r="G28" s="22"/>
      <c r="I28" s="23"/>
    </row>
    <row r="29" s="21" customFormat="1" spans="1:9">
      <c r="A29" s="22"/>
      <c r="B29" s="22"/>
      <c r="C29" s="22"/>
      <c r="D29" s="22"/>
      <c r="E29" s="22"/>
      <c r="F29" s="22"/>
      <c r="G29" s="22"/>
      <c r="I29" s="23"/>
    </row>
    <row r="30" s="21" customFormat="1" spans="1:9">
      <c r="A30" s="22"/>
      <c r="B30" s="22"/>
      <c r="C30" s="22"/>
      <c r="D30" s="22"/>
      <c r="E30" s="22"/>
      <c r="F30" s="22"/>
      <c r="G30" s="22"/>
      <c r="I30" s="23"/>
    </row>
    <row r="31" s="21" customFormat="1" spans="1:9">
      <c r="A31" s="22"/>
      <c r="B31" s="22"/>
      <c r="C31" s="22"/>
      <c r="D31" s="22"/>
      <c r="E31" s="22"/>
      <c r="F31" s="22"/>
      <c r="G31" s="22"/>
      <c r="I31" s="23"/>
    </row>
    <row r="32" s="21" customFormat="1" spans="1:9">
      <c r="A32" s="22"/>
      <c r="B32" s="22"/>
      <c r="C32" s="22"/>
      <c r="D32" s="22"/>
      <c r="E32" s="22"/>
      <c r="F32" s="22"/>
      <c r="G32" s="22"/>
      <c r="I32" s="23"/>
    </row>
    <row r="33" s="21" customFormat="1" spans="1:9">
      <c r="A33" s="22"/>
      <c r="B33" s="22"/>
      <c r="C33" s="22"/>
      <c r="D33" s="22"/>
      <c r="E33" s="22"/>
      <c r="F33" s="22"/>
      <c r="G33" s="22"/>
      <c r="I33" s="23"/>
    </row>
    <row r="34" s="21" customFormat="1" spans="1:9">
      <c r="A34" s="22"/>
      <c r="B34" s="22"/>
      <c r="C34" s="22"/>
      <c r="D34" s="22"/>
      <c r="E34" s="22"/>
      <c r="F34" s="22"/>
      <c r="G34" s="22"/>
      <c r="I34" s="23"/>
    </row>
    <row r="35" s="21" customFormat="1" spans="1:9">
      <c r="A35" s="22"/>
      <c r="B35" s="22"/>
      <c r="C35" s="22"/>
      <c r="D35" s="22"/>
      <c r="E35" s="22"/>
      <c r="F35" s="22"/>
      <c r="G35" s="22"/>
      <c r="I35" s="23"/>
    </row>
    <row r="36" s="21" customFormat="1" spans="1:9">
      <c r="A36" s="22"/>
      <c r="B36" s="22"/>
      <c r="C36" s="22"/>
      <c r="D36" s="22"/>
      <c r="E36" s="22"/>
      <c r="F36" s="22"/>
      <c r="G36" s="22"/>
      <c r="I36" s="23"/>
    </row>
    <row r="37" s="21" customFormat="1" spans="1:9">
      <c r="A37" s="22"/>
      <c r="B37" s="22"/>
      <c r="C37" s="22"/>
      <c r="D37" s="22"/>
      <c r="E37" s="22"/>
      <c r="F37" s="22"/>
      <c r="G37" s="22"/>
      <c r="I37" s="23"/>
    </row>
  </sheetData>
  <mergeCells count="2">
    <mergeCell ref="A1:I1"/>
    <mergeCell ref="B6:I6"/>
  </mergeCells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67"/>
  <sheetViews>
    <sheetView zoomScale="70" zoomScaleNormal="70" workbookViewId="0">
      <selection activeCell="F157" sqref="F157"/>
    </sheetView>
  </sheetViews>
  <sheetFormatPr defaultColWidth="9" defaultRowHeight="17.6"/>
  <cols>
    <col min="1" max="1" width="11.1327433628319" style="46" customWidth="1"/>
    <col min="2" max="2" width="37.5221238938053" style="21" customWidth="1"/>
    <col min="3" max="3" width="9.6283185840708" style="21" customWidth="1"/>
    <col min="4" max="4" width="20.8761061946903" style="21" customWidth="1"/>
    <col min="5" max="5" width="29.3805309734513" style="21" customWidth="1"/>
    <col min="6" max="6" width="18.6283185840708" style="21" customWidth="1"/>
    <col min="7" max="7" width="17.5132743362832" style="22" customWidth="1"/>
    <col min="8" max="8" width="25.2477876106195" style="21" customWidth="1"/>
    <col min="9" max="9" width="16.3805309734513" style="75" customWidth="1"/>
    <col min="10" max="12" width="9" style="38"/>
    <col min="13" max="16384" width="9" style="21"/>
  </cols>
  <sheetData>
    <row r="1" s="21" customFormat="1" ht="30.95" customHeight="1" spans="1:12">
      <c r="A1" s="76" t="s">
        <v>418</v>
      </c>
      <c r="B1" s="25"/>
      <c r="C1" s="25"/>
      <c r="D1" s="25"/>
      <c r="E1" s="25"/>
      <c r="F1" s="25"/>
      <c r="G1" s="25"/>
      <c r="H1" s="25"/>
      <c r="I1" s="25"/>
      <c r="J1" s="38"/>
      <c r="K1" s="38"/>
      <c r="L1" s="38"/>
    </row>
    <row r="2" s="21" customFormat="1" ht="17.65" spans="1:12">
      <c r="A2" s="77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  <c r="J2" s="38"/>
      <c r="K2" s="38"/>
      <c r="L2" s="38"/>
    </row>
    <row r="3" s="21" customFormat="1" ht="80.1" customHeight="1" spans="1:12">
      <c r="A3" s="78">
        <v>1</v>
      </c>
      <c r="B3" s="79" t="s">
        <v>419</v>
      </c>
      <c r="C3" s="79">
        <v>3</v>
      </c>
      <c r="D3" s="79" t="s">
        <v>420</v>
      </c>
      <c r="E3" s="79" t="s">
        <v>45</v>
      </c>
      <c r="F3" s="79"/>
      <c r="G3" s="79"/>
      <c r="H3" s="80"/>
      <c r="I3" s="41" t="s">
        <v>421</v>
      </c>
      <c r="J3" s="38"/>
      <c r="K3" s="38"/>
      <c r="L3" s="38"/>
    </row>
    <row r="4" s="21" customFormat="1" ht="80.1" customHeight="1" spans="1:12">
      <c r="A4" s="78">
        <v>2</v>
      </c>
      <c r="B4" s="79" t="s">
        <v>422</v>
      </c>
      <c r="C4" s="79">
        <v>12</v>
      </c>
      <c r="D4" s="79" t="s">
        <v>423</v>
      </c>
      <c r="E4" s="81" t="s">
        <v>424</v>
      </c>
      <c r="F4" s="79"/>
      <c r="G4" s="79"/>
      <c r="H4" s="30"/>
      <c r="I4" s="41" t="s">
        <v>425</v>
      </c>
      <c r="J4" s="38"/>
      <c r="K4" s="38"/>
      <c r="L4" s="38"/>
    </row>
    <row r="5" s="21" customFormat="1" ht="80.1" customHeight="1" spans="1:12">
      <c r="A5" s="78">
        <v>3</v>
      </c>
      <c r="B5" s="79" t="s">
        <v>426</v>
      </c>
      <c r="C5" s="79">
        <v>18</v>
      </c>
      <c r="D5" s="79" t="s">
        <v>427</v>
      </c>
      <c r="E5" s="81" t="s">
        <v>428</v>
      </c>
      <c r="F5" s="79"/>
      <c r="G5" s="79"/>
      <c r="H5" s="80" t="str">
        <f>_xlfn.DISPIMG("ID_E2BEB1C436E64738A475392223FAE69F",1)</f>
        <v>=DISPIMG("ID_E2BEB1C436E64738A475392223FAE69F",1)</v>
      </c>
      <c r="I5" s="41" t="s">
        <v>425</v>
      </c>
      <c r="J5" s="38"/>
      <c r="K5" s="38"/>
      <c r="L5" s="38"/>
    </row>
    <row r="6" s="21" customFormat="1" ht="80.1" customHeight="1" spans="1:12">
      <c r="A6" s="78">
        <v>4</v>
      </c>
      <c r="B6" s="79" t="s">
        <v>429</v>
      </c>
      <c r="C6" s="79">
        <v>2</v>
      </c>
      <c r="D6" s="79" t="s">
        <v>430</v>
      </c>
      <c r="E6" s="79" t="s">
        <v>431</v>
      </c>
      <c r="F6" s="79"/>
      <c r="G6" s="79"/>
      <c r="H6" s="80"/>
      <c r="I6" s="42" t="s">
        <v>39</v>
      </c>
      <c r="J6" s="38"/>
      <c r="K6" s="38"/>
      <c r="L6" s="38"/>
    </row>
    <row r="7" s="21" customFormat="1" ht="80.1" customHeight="1" spans="1:12">
      <c r="A7" s="78">
        <v>5</v>
      </c>
      <c r="B7" s="79" t="s">
        <v>432</v>
      </c>
      <c r="C7" s="79">
        <v>2</v>
      </c>
      <c r="D7" s="79" t="s">
        <v>433</v>
      </c>
      <c r="E7" s="79" t="s">
        <v>72</v>
      </c>
      <c r="F7" s="79"/>
      <c r="G7" s="79"/>
      <c r="H7" s="30"/>
      <c r="I7" s="43"/>
      <c r="J7" s="38"/>
      <c r="K7" s="38"/>
      <c r="L7" s="38"/>
    </row>
    <row r="8" s="21" customFormat="1" ht="80.1" customHeight="1" spans="1:12">
      <c r="A8" s="78">
        <v>6</v>
      </c>
      <c r="B8" s="82" t="s">
        <v>429</v>
      </c>
      <c r="C8" s="82">
        <v>2</v>
      </c>
      <c r="D8" s="82" t="s">
        <v>430</v>
      </c>
      <c r="E8" s="82" t="s">
        <v>434</v>
      </c>
      <c r="F8" s="82"/>
      <c r="G8" s="82"/>
      <c r="H8" s="83"/>
      <c r="I8" s="43"/>
      <c r="J8" s="38"/>
      <c r="K8" s="38"/>
      <c r="L8" s="38"/>
    </row>
    <row r="9" s="21" customFormat="1" ht="80.1" customHeight="1" spans="1:12">
      <c r="A9" s="78">
        <v>7</v>
      </c>
      <c r="B9" s="79" t="s">
        <v>429</v>
      </c>
      <c r="C9" s="79">
        <v>1</v>
      </c>
      <c r="D9" s="79" t="s">
        <v>430</v>
      </c>
      <c r="E9" s="79" t="s">
        <v>435</v>
      </c>
      <c r="F9" s="79"/>
      <c r="G9" s="79"/>
      <c r="H9" s="80"/>
      <c r="I9" s="44"/>
      <c r="J9" s="38"/>
      <c r="K9" s="38"/>
      <c r="L9" s="38"/>
    </row>
    <row r="10" s="21" customFormat="1" ht="58.5" customHeight="1" spans="1:12">
      <c r="A10" s="78">
        <v>8</v>
      </c>
      <c r="B10" s="79" t="s">
        <v>436</v>
      </c>
      <c r="C10" s="79">
        <v>1</v>
      </c>
      <c r="D10" s="79" t="s">
        <v>437</v>
      </c>
      <c r="E10" s="79" t="s">
        <v>438</v>
      </c>
      <c r="F10" s="79"/>
      <c r="G10" s="79"/>
      <c r="H10" s="84"/>
      <c r="I10" s="42" t="s">
        <v>439</v>
      </c>
      <c r="J10" s="38"/>
      <c r="K10" s="38"/>
      <c r="L10" s="38"/>
    </row>
    <row r="11" s="21" customFormat="1" ht="80.1" customHeight="1" spans="1:12">
      <c r="A11" s="78">
        <v>9</v>
      </c>
      <c r="B11" s="82" t="s">
        <v>436</v>
      </c>
      <c r="C11" s="82">
        <v>1</v>
      </c>
      <c r="D11" s="82"/>
      <c r="E11" s="82" t="s">
        <v>440</v>
      </c>
      <c r="F11" s="82"/>
      <c r="G11" s="82"/>
      <c r="H11" s="85"/>
      <c r="I11" s="44"/>
      <c r="J11" s="38"/>
      <c r="K11" s="38"/>
      <c r="L11" s="38"/>
    </row>
    <row r="12" s="21" customFormat="1" ht="80.1" customHeight="1" spans="1:12">
      <c r="A12" s="78">
        <v>10</v>
      </c>
      <c r="B12" s="79" t="s">
        <v>441</v>
      </c>
      <c r="C12" s="79">
        <v>1</v>
      </c>
      <c r="D12" s="79" t="s">
        <v>442</v>
      </c>
      <c r="E12" s="79" t="s">
        <v>443</v>
      </c>
      <c r="F12" s="79"/>
      <c r="G12" s="79"/>
      <c r="H12" s="30"/>
      <c r="I12" s="41" t="s">
        <v>444</v>
      </c>
      <c r="J12" s="38"/>
      <c r="K12" s="38"/>
      <c r="L12" s="38"/>
    </row>
    <row r="13" s="21" customFormat="1" ht="80.1" customHeight="1" spans="1:12">
      <c r="A13" s="78">
        <v>11</v>
      </c>
      <c r="B13" s="27" t="s">
        <v>419</v>
      </c>
      <c r="C13" s="27">
        <v>2</v>
      </c>
      <c r="D13" s="27" t="s">
        <v>445</v>
      </c>
      <c r="E13" s="27" t="s">
        <v>446</v>
      </c>
      <c r="F13" s="27"/>
      <c r="G13" s="27"/>
      <c r="H13" s="27"/>
      <c r="I13" s="41" t="s">
        <v>447</v>
      </c>
      <c r="J13" s="38"/>
      <c r="K13" s="38"/>
      <c r="L13" s="38"/>
    </row>
    <row r="14" s="21" customFormat="1" ht="80.1" customHeight="1" spans="1:12">
      <c r="A14" s="78">
        <v>12</v>
      </c>
      <c r="B14" s="79" t="s">
        <v>448</v>
      </c>
      <c r="C14" s="79">
        <v>5</v>
      </c>
      <c r="D14" s="79" t="s">
        <v>449</v>
      </c>
      <c r="E14" s="79" t="s">
        <v>450</v>
      </c>
      <c r="F14" s="79"/>
      <c r="G14" s="79"/>
      <c r="H14" s="80"/>
      <c r="I14" s="42" t="s">
        <v>39</v>
      </c>
      <c r="J14" s="38"/>
      <c r="K14" s="38"/>
      <c r="L14" s="38"/>
    </row>
    <row r="15" s="21" customFormat="1" ht="80.1" customHeight="1" spans="1:12">
      <c r="A15" s="78">
        <v>13</v>
      </c>
      <c r="B15" s="79" t="s">
        <v>451</v>
      </c>
      <c r="C15" s="79">
        <v>5</v>
      </c>
      <c r="D15" s="79" t="s">
        <v>449</v>
      </c>
      <c r="E15" s="79" t="s">
        <v>452</v>
      </c>
      <c r="F15" s="79"/>
      <c r="G15" s="79"/>
      <c r="H15" s="80"/>
      <c r="I15" s="43"/>
      <c r="J15" s="38"/>
      <c r="K15" s="38"/>
      <c r="L15" s="38"/>
    </row>
    <row r="16" s="21" customFormat="1" ht="80.1" customHeight="1" spans="1:12">
      <c r="A16" s="78">
        <v>14</v>
      </c>
      <c r="B16" s="79" t="s">
        <v>453</v>
      </c>
      <c r="C16" s="79">
        <v>1</v>
      </c>
      <c r="D16" s="79" t="s">
        <v>449</v>
      </c>
      <c r="E16" s="79" t="s">
        <v>454</v>
      </c>
      <c r="F16" s="79"/>
      <c r="G16" s="79"/>
      <c r="H16" s="80"/>
      <c r="I16" s="43"/>
      <c r="J16" s="38"/>
      <c r="K16" s="38"/>
      <c r="L16" s="38"/>
    </row>
    <row r="17" s="21" customFormat="1" ht="80.1" customHeight="1" spans="1:12">
      <c r="A17" s="78">
        <v>15</v>
      </c>
      <c r="B17" s="79" t="s">
        <v>455</v>
      </c>
      <c r="C17" s="79">
        <v>1</v>
      </c>
      <c r="D17" s="79" t="s">
        <v>449</v>
      </c>
      <c r="E17" s="79" t="s">
        <v>456</v>
      </c>
      <c r="F17" s="79"/>
      <c r="G17" s="79"/>
      <c r="H17" s="80"/>
      <c r="I17" s="43"/>
      <c r="J17" s="38"/>
      <c r="K17" s="38"/>
      <c r="L17" s="38"/>
    </row>
    <row r="18" s="21" customFormat="1" ht="80.1" customHeight="1" spans="1:12">
      <c r="A18" s="78">
        <v>16</v>
      </c>
      <c r="B18" s="79" t="s">
        <v>457</v>
      </c>
      <c r="C18" s="79">
        <v>1</v>
      </c>
      <c r="D18" s="79" t="s">
        <v>449</v>
      </c>
      <c r="E18" s="79" t="s">
        <v>458</v>
      </c>
      <c r="F18" s="79"/>
      <c r="G18" s="79"/>
      <c r="H18" s="86"/>
      <c r="I18" s="43"/>
      <c r="J18" s="38"/>
      <c r="K18" s="38"/>
      <c r="L18" s="38"/>
    </row>
    <row r="19" s="21" customFormat="1" ht="80.1" customHeight="1" spans="1:12">
      <c r="A19" s="78">
        <v>17</v>
      </c>
      <c r="B19" s="79" t="s">
        <v>459</v>
      </c>
      <c r="C19" s="79">
        <v>1</v>
      </c>
      <c r="D19" s="79" t="s">
        <v>449</v>
      </c>
      <c r="E19" s="79" t="s">
        <v>460</v>
      </c>
      <c r="F19" s="79"/>
      <c r="G19" s="79"/>
      <c r="H19" s="80"/>
      <c r="I19" s="43"/>
      <c r="J19" s="38"/>
      <c r="K19" s="38"/>
      <c r="L19" s="38"/>
    </row>
    <row r="20" s="21" customFormat="1" ht="80.1" customHeight="1" spans="1:12">
      <c r="A20" s="78">
        <v>18</v>
      </c>
      <c r="B20" s="79" t="s">
        <v>461</v>
      </c>
      <c r="C20" s="79">
        <v>1</v>
      </c>
      <c r="D20" s="79" t="s">
        <v>449</v>
      </c>
      <c r="E20" s="79" t="s">
        <v>462</v>
      </c>
      <c r="F20" s="79"/>
      <c r="G20" s="79"/>
      <c r="H20" s="80"/>
      <c r="I20" s="43"/>
      <c r="J20" s="38"/>
      <c r="K20" s="38"/>
      <c r="L20" s="38"/>
    </row>
    <row r="21" s="21" customFormat="1" ht="80.1" customHeight="1" spans="1:12">
      <c r="A21" s="78">
        <v>19</v>
      </c>
      <c r="B21" s="79" t="s">
        <v>463</v>
      </c>
      <c r="C21" s="79">
        <v>1</v>
      </c>
      <c r="D21" s="79" t="s">
        <v>449</v>
      </c>
      <c r="E21" s="79" t="s">
        <v>464</v>
      </c>
      <c r="F21" s="79"/>
      <c r="G21" s="79"/>
      <c r="H21" s="80"/>
      <c r="I21" s="43"/>
      <c r="J21" s="38"/>
      <c r="K21" s="38"/>
      <c r="L21" s="38"/>
    </row>
    <row r="22" s="21" customFormat="1" ht="80.1" customHeight="1" spans="1:12">
      <c r="A22" s="78">
        <v>20</v>
      </c>
      <c r="B22" s="79" t="s">
        <v>465</v>
      </c>
      <c r="C22" s="79">
        <v>1</v>
      </c>
      <c r="D22" s="79" t="s">
        <v>449</v>
      </c>
      <c r="E22" s="79" t="s">
        <v>464</v>
      </c>
      <c r="F22" s="79"/>
      <c r="G22" s="79"/>
      <c r="H22" s="80"/>
      <c r="I22" s="43"/>
      <c r="J22" s="38"/>
      <c r="K22" s="38"/>
      <c r="L22" s="38"/>
    </row>
    <row r="23" s="21" customFormat="1" ht="80.1" customHeight="1" spans="1:12">
      <c r="A23" s="78">
        <v>21</v>
      </c>
      <c r="B23" s="79" t="s">
        <v>466</v>
      </c>
      <c r="C23" s="79">
        <v>1</v>
      </c>
      <c r="D23" s="79" t="s">
        <v>449</v>
      </c>
      <c r="E23" s="79" t="s">
        <v>467</v>
      </c>
      <c r="F23" s="79"/>
      <c r="G23" s="79"/>
      <c r="H23" s="80"/>
      <c r="I23" s="43"/>
      <c r="J23" s="38"/>
      <c r="K23" s="38"/>
      <c r="L23" s="38"/>
    </row>
    <row r="24" s="21" customFormat="1" ht="80.1" customHeight="1" spans="1:12">
      <c r="A24" s="78">
        <v>22</v>
      </c>
      <c r="B24" s="79" t="s">
        <v>468</v>
      </c>
      <c r="C24" s="79">
        <v>1</v>
      </c>
      <c r="D24" s="79" t="s">
        <v>449</v>
      </c>
      <c r="E24" s="79" t="s">
        <v>469</v>
      </c>
      <c r="F24" s="79"/>
      <c r="G24" s="79"/>
      <c r="H24" s="80"/>
      <c r="I24" s="43"/>
      <c r="J24" s="38"/>
      <c r="K24" s="38"/>
      <c r="L24" s="38"/>
    </row>
    <row r="25" s="21" customFormat="1" ht="80.1" customHeight="1" spans="1:12">
      <c r="A25" s="78">
        <v>23</v>
      </c>
      <c r="B25" s="79" t="s">
        <v>453</v>
      </c>
      <c r="C25" s="79">
        <v>1</v>
      </c>
      <c r="D25" s="79" t="s">
        <v>449</v>
      </c>
      <c r="E25" s="79" t="s">
        <v>454</v>
      </c>
      <c r="F25" s="79"/>
      <c r="G25" s="79"/>
      <c r="H25" s="80"/>
      <c r="I25" s="43"/>
      <c r="J25" s="38"/>
      <c r="K25" s="38"/>
      <c r="L25" s="38"/>
    </row>
    <row r="26" s="21" customFormat="1" ht="80.1" customHeight="1" spans="1:12">
      <c r="A26" s="78">
        <v>24</v>
      </c>
      <c r="B26" s="79" t="s">
        <v>466</v>
      </c>
      <c r="C26" s="79">
        <v>1</v>
      </c>
      <c r="D26" s="79" t="s">
        <v>449</v>
      </c>
      <c r="E26" s="79" t="s">
        <v>470</v>
      </c>
      <c r="F26" s="79"/>
      <c r="G26" s="79"/>
      <c r="H26" s="80"/>
      <c r="I26" s="43"/>
      <c r="J26" s="38"/>
      <c r="K26" s="38"/>
      <c r="L26" s="38"/>
    </row>
    <row r="27" s="21" customFormat="1" ht="80.1" customHeight="1" spans="1:12">
      <c r="A27" s="78">
        <v>25</v>
      </c>
      <c r="B27" s="79" t="s">
        <v>471</v>
      </c>
      <c r="C27" s="79">
        <v>1</v>
      </c>
      <c r="D27" s="79" t="s">
        <v>449</v>
      </c>
      <c r="E27" s="79" t="s">
        <v>472</v>
      </c>
      <c r="F27" s="79"/>
      <c r="G27" s="79"/>
      <c r="H27" s="30"/>
      <c r="I27" s="43"/>
      <c r="J27" s="38"/>
      <c r="K27" s="38"/>
      <c r="L27" s="38"/>
    </row>
    <row r="28" s="21" customFormat="1" ht="80.1" customHeight="1" spans="1:12">
      <c r="A28" s="78">
        <v>26</v>
      </c>
      <c r="B28" s="79" t="s">
        <v>453</v>
      </c>
      <c r="C28" s="79">
        <v>1</v>
      </c>
      <c r="D28" s="79" t="s">
        <v>449</v>
      </c>
      <c r="E28" s="79" t="s">
        <v>473</v>
      </c>
      <c r="F28" s="79"/>
      <c r="G28" s="79"/>
      <c r="H28" s="30"/>
      <c r="I28" s="43"/>
      <c r="J28" s="38"/>
      <c r="K28" s="38"/>
      <c r="L28" s="38"/>
    </row>
    <row r="29" s="21" customFormat="1" ht="100" customHeight="1" spans="1:12">
      <c r="A29" s="78">
        <v>27</v>
      </c>
      <c r="B29" s="79" t="s">
        <v>474</v>
      </c>
      <c r="C29" s="79">
        <v>2</v>
      </c>
      <c r="D29" s="79" t="s">
        <v>449</v>
      </c>
      <c r="E29" s="79" t="s">
        <v>475</v>
      </c>
      <c r="F29" s="79"/>
      <c r="G29" s="79"/>
      <c r="H29" s="30"/>
      <c r="I29" s="43"/>
      <c r="J29" s="38"/>
      <c r="K29" s="38"/>
      <c r="L29" s="38"/>
    </row>
    <row r="30" s="21" customFormat="1" ht="99" customHeight="1" spans="1:12">
      <c r="A30" s="78">
        <v>28</v>
      </c>
      <c r="B30" s="79" t="s">
        <v>34</v>
      </c>
      <c r="C30" s="79">
        <v>12</v>
      </c>
      <c r="D30" s="79" t="s">
        <v>449</v>
      </c>
      <c r="E30" s="81" t="s">
        <v>476</v>
      </c>
      <c r="F30" s="79"/>
      <c r="G30" s="79"/>
      <c r="H30" s="30" t="str">
        <f>_xlfn.DISPIMG("ID_EE43036F48F447C39CDCA734C313A1F5",1)</f>
        <v>=DISPIMG("ID_EE43036F48F447C39CDCA734C313A1F5",1)</v>
      </c>
      <c r="I30" s="43"/>
      <c r="J30" s="38"/>
      <c r="K30" s="38"/>
      <c r="L30" s="38"/>
    </row>
    <row r="31" s="21" customFormat="1" ht="93" customHeight="1" spans="1:12">
      <c r="A31" s="78">
        <v>29</v>
      </c>
      <c r="B31" s="79" t="s">
        <v>477</v>
      </c>
      <c r="C31" s="79">
        <v>1</v>
      </c>
      <c r="D31" s="79" t="s">
        <v>449</v>
      </c>
      <c r="E31" s="79" t="s">
        <v>478</v>
      </c>
      <c r="F31" s="79"/>
      <c r="G31" s="79"/>
      <c r="H31" s="30" t="str">
        <f>_xlfn.DISPIMG("ID_1C50B93FD3ED4209B1B7D6AE4806731B",1)</f>
        <v>=DISPIMG("ID_1C50B93FD3ED4209B1B7D6AE4806731B",1)</v>
      </c>
      <c r="I31" s="43"/>
      <c r="J31" s="38"/>
      <c r="K31" s="38"/>
      <c r="L31" s="38"/>
    </row>
    <row r="32" s="21" customFormat="1" ht="80.1" customHeight="1" spans="1:12">
      <c r="A32" s="78">
        <v>30</v>
      </c>
      <c r="B32" s="27" t="s">
        <v>479</v>
      </c>
      <c r="C32" s="27">
        <v>7</v>
      </c>
      <c r="D32" s="27" t="s">
        <v>449</v>
      </c>
      <c r="E32" s="27" t="s">
        <v>480</v>
      </c>
      <c r="F32" s="79"/>
      <c r="G32" s="27"/>
      <c r="H32" s="30" t="str">
        <f>_xlfn.DISPIMG("ID_6AB4F4E5683F4F899A4EE138FDBBB012",1)</f>
        <v>=DISPIMG("ID_6AB4F4E5683F4F899A4EE138FDBBB012",1)</v>
      </c>
      <c r="I32" s="43"/>
      <c r="J32" s="38"/>
      <c r="K32" s="38"/>
      <c r="L32" s="38"/>
    </row>
    <row r="33" s="21" customFormat="1" ht="80.1" customHeight="1" spans="1:12">
      <c r="A33" s="78">
        <v>31</v>
      </c>
      <c r="B33" s="27" t="s">
        <v>481</v>
      </c>
      <c r="C33" s="27">
        <v>8</v>
      </c>
      <c r="D33" s="27" t="s">
        <v>449</v>
      </c>
      <c r="E33" s="27" t="s">
        <v>482</v>
      </c>
      <c r="F33" s="79"/>
      <c r="G33" s="27"/>
      <c r="H33" s="30" t="str">
        <f>_xlfn.DISPIMG("ID_D7915C989FF447CAA7BBFCB1950A1492",1)</f>
        <v>=DISPIMG("ID_D7915C989FF447CAA7BBFCB1950A1492",1)</v>
      </c>
      <c r="I33" s="43"/>
      <c r="J33" s="38"/>
      <c r="K33" s="38"/>
      <c r="L33" s="38"/>
    </row>
    <row r="34" s="21" customFormat="1" ht="80.1" customHeight="1" spans="1:12">
      <c r="A34" s="78">
        <v>32</v>
      </c>
      <c r="B34" s="27" t="s">
        <v>453</v>
      </c>
      <c r="C34" s="27">
        <v>1</v>
      </c>
      <c r="D34" s="79" t="s">
        <v>449</v>
      </c>
      <c r="E34" s="27" t="s">
        <v>483</v>
      </c>
      <c r="F34" s="27"/>
      <c r="G34" s="27"/>
      <c r="H34" s="30"/>
      <c r="I34" s="43"/>
      <c r="J34" s="38"/>
      <c r="K34" s="38"/>
      <c r="L34" s="38"/>
    </row>
    <row r="35" s="21" customFormat="1" ht="80.1" customHeight="1" spans="1:12">
      <c r="A35" s="78">
        <v>33</v>
      </c>
      <c r="B35" s="27" t="s">
        <v>471</v>
      </c>
      <c r="C35" s="27">
        <v>1</v>
      </c>
      <c r="D35" s="79" t="s">
        <v>449</v>
      </c>
      <c r="E35" s="27" t="s">
        <v>484</v>
      </c>
      <c r="F35" s="27"/>
      <c r="G35" s="27"/>
      <c r="H35" s="30" t="str">
        <f>_xlfn.DISPIMG("ID_E76295FDE7E44C18BFE71D2F728D6FA5",1)</f>
        <v>=DISPIMG("ID_E76295FDE7E44C18BFE71D2F728D6FA5",1)</v>
      </c>
      <c r="I35" s="43"/>
      <c r="J35" s="38"/>
      <c r="K35" s="38"/>
      <c r="L35" s="38"/>
    </row>
    <row r="36" s="21" customFormat="1" ht="80.1" customHeight="1" spans="1:12">
      <c r="A36" s="78">
        <v>34</v>
      </c>
      <c r="B36" s="79" t="s">
        <v>466</v>
      </c>
      <c r="C36" s="79">
        <v>1</v>
      </c>
      <c r="D36" s="79" t="s">
        <v>449</v>
      </c>
      <c r="E36" s="79" t="s">
        <v>485</v>
      </c>
      <c r="F36" s="27"/>
      <c r="G36" s="79"/>
      <c r="H36" s="80"/>
      <c r="I36" s="43"/>
      <c r="J36" s="38"/>
      <c r="K36" s="38"/>
      <c r="L36" s="38"/>
    </row>
    <row r="37" s="21" customFormat="1" ht="80.1" customHeight="1" spans="1:12">
      <c r="A37" s="78">
        <v>35</v>
      </c>
      <c r="B37" s="87" t="s">
        <v>486</v>
      </c>
      <c r="C37" s="79">
        <v>4</v>
      </c>
      <c r="D37" s="79" t="s">
        <v>449</v>
      </c>
      <c r="E37" s="81" t="s">
        <v>487</v>
      </c>
      <c r="F37" s="27"/>
      <c r="G37" s="79"/>
      <c r="H37" s="30" t="str">
        <f>_xlfn.DISPIMG("ID_3F79BD86F16F48A18BA7149BC436AF79",1)</f>
        <v>=DISPIMG("ID_3F79BD86F16F48A18BA7149BC436AF79",1)</v>
      </c>
      <c r="I37" s="43"/>
      <c r="J37" s="38"/>
      <c r="K37" s="38"/>
      <c r="L37" s="38"/>
    </row>
    <row r="38" s="21" customFormat="1" ht="80.1" customHeight="1" spans="1:12">
      <c r="A38" s="78">
        <v>36</v>
      </c>
      <c r="B38" s="79" t="s">
        <v>488</v>
      </c>
      <c r="C38" s="79">
        <v>1</v>
      </c>
      <c r="D38" s="79" t="s">
        <v>449</v>
      </c>
      <c r="E38" s="81" t="s">
        <v>489</v>
      </c>
      <c r="F38" s="79"/>
      <c r="G38" s="79"/>
      <c r="H38" s="80" t="str">
        <f>_xlfn.DISPIMG("ID_769EDFA153EF42E6A3D7CFD548BBB78D",1)</f>
        <v>=DISPIMG("ID_769EDFA153EF42E6A3D7CFD548BBB78D",1)</v>
      </c>
      <c r="I38" s="43"/>
      <c r="J38" s="38"/>
      <c r="K38" s="38"/>
      <c r="L38" s="38"/>
    </row>
    <row r="39" s="21" customFormat="1" ht="80.1" customHeight="1" spans="1:12">
      <c r="A39" s="78">
        <v>37</v>
      </c>
      <c r="B39" s="79" t="s">
        <v>490</v>
      </c>
      <c r="C39" s="79">
        <v>1</v>
      </c>
      <c r="D39" s="79" t="s">
        <v>449</v>
      </c>
      <c r="E39" s="81" t="s">
        <v>491</v>
      </c>
      <c r="F39" s="79"/>
      <c r="G39" s="79"/>
      <c r="H39" s="80" t="str">
        <f>_xlfn.DISPIMG("ID_8658B0BC302A4042B3F08CC61B917144",1)</f>
        <v>=DISPIMG("ID_8658B0BC302A4042B3F08CC61B917144",1)</v>
      </c>
      <c r="I39" s="43"/>
      <c r="J39" s="38"/>
      <c r="K39" s="38"/>
      <c r="L39" s="38"/>
    </row>
    <row r="40" s="21" customFormat="1" ht="80.1" customHeight="1" spans="1:12">
      <c r="A40" s="78">
        <v>38</v>
      </c>
      <c r="B40" s="79" t="s">
        <v>492</v>
      </c>
      <c r="C40" s="79">
        <v>1</v>
      </c>
      <c r="D40" s="79" t="s">
        <v>449</v>
      </c>
      <c r="E40" s="81" t="s">
        <v>493</v>
      </c>
      <c r="F40" s="79"/>
      <c r="G40" s="79"/>
      <c r="H40" s="80"/>
      <c r="I40" s="43"/>
      <c r="J40" s="38"/>
      <c r="K40" s="38"/>
      <c r="L40" s="38"/>
    </row>
    <row r="41" s="21" customFormat="1" ht="80.1" customHeight="1" spans="1:12">
      <c r="A41" s="78">
        <v>39</v>
      </c>
      <c r="B41" s="79" t="s">
        <v>494</v>
      </c>
      <c r="C41" s="79">
        <v>1</v>
      </c>
      <c r="D41" s="79" t="s">
        <v>449</v>
      </c>
      <c r="E41" s="81" t="s">
        <v>495</v>
      </c>
      <c r="F41" s="79"/>
      <c r="G41" s="79"/>
      <c r="H41" s="80" t="str">
        <f>_xlfn.DISPIMG("ID_A887886239F444E08E4F4593E384F0DD",1)</f>
        <v>=DISPIMG("ID_A887886239F444E08E4F4593E384F0DD",1)</v>
      </c>
      <c r="I41" s="43"/>
      <c r="J41" s="38"/>
      <c r="K41" s="38"/>
      <c r="L41" s="38"/>
    </row>
    <row r="42" s="21" customFormat="1" ht="80.1" customHeight="1" spans="1:12">
      <c r="A42" s="78">
        <v>40</v>
      </c>
      <c r="B42" s="79" t="s">
        <v>496</v>
      </c>
      <c r="C42" s="79">
        <v>1</v>
      </c>
      <c r="D42" s="79" t="s">
        <v>449</v>
      </c>
      <c r="E42" s="81" t="s">
        <v>497</v>
      </c>
      <c r="F42" s="79"/>
      <c r="G42" s="79"/>
      <c r="H42" s="80" t="str">
        <f>_xlfn.DISPIMG("ID_C79E4C670C494A959F3B4CA3A14268AE",1)</f>
        <v>=DISPIMG("ID_C79E4C670C494A959F3B4CA3A14268AE",1)</v>
      </c>
      <c r="I42" s="43"/>
      <c r="J42" s="38"/>
      <c r="K42" s="38"/>
      <c r="L42" s="38"/>
    </row>
    <row r="43" s="21" customFormat="1" ht="80.1" customHeight="1" spans="1:12">
      <c r="A43" s="78">
        <v>41</v>
      </c>
      <c r="B43" s="79" t="s">
        <v>498</v>
      </c>
      <c r="C43" s="79">
        <v>1</v>
      </c>
      <c r="D43" s="79" t="s">
        <v>449</v>
      </c>
      <c r="E43" s="81" t="s">
        <v>499</v>
      </c>
      <c r="F43" s="79"/>
      <c r="G43" s="79"/>
      <c r="H43" s="80"/>
      <c r="I43" s="43"/>
      <c r="J43" s="38"/>
      <c r="K43" s="38"/>
      <c r="L43" s="38"/>
    </row>
    <row r="44" s="21" customFormat="1" ht="80.1" customHeight="1" spans="1:12">
      <c r="A44" s="78">
        <v>42</v>
      </c>
      <c r="B44" s="82" t="s">
        <v>500</v>
      </c>
      <c r="C44" s="82">
        <v>11</v>
      </c>
      <c r="D44" s="82" t="s">
        <v>449</v>
      </c>
      <c r="E44" s="82" t="s">
        <v>501</v>
      </c>
      <c r="F44" s="79"/>
      <c r="G44" s="82"/>
      <c r="H44" s="83"/>
      <c r="I44" s="43"/>
      <c r="J44" s="38"/>
      <c r="K44" s="38"/>
      <c r="L44" s="38"/>
    </row>
    <row r="45" s="21" customFormat="1" ht="80.1" customHeight="1" spans="1:12">
      <c r="A45" s="78">
        <v>43</v>
      </c>
      <c r="B45" s="82" t="s">
        <v>453</v>
      </c>
      <c r="C45" s="82">
        <v>1</v>
      </c>
      <c r="D45" s="82" t="s">
        <v>449</v>
      </c>
      <c r="E45" s="82" t="s">
        <v>454</v>
      </c>
      <c r="F45" s="79"/>
      <c r="G45" s="82"/>
      <c r="H45" s="83"/>
      <c r="I45" s="43"/>
      <c r="J45" s="38"/>
      <c r="K45" s="38"/>
      <c r="L45" s="38"/>
    </row>
    <row r="46" s="21" customFormat="1" ht="80.1" customHeight="1" spans="1:12">
      <c r="A46" s="78">
        <v>44</v>
      </c>
      <c r="B46" s="82" t="s">
        <v>502</v>
      </c>
      <c r="C46" s="82">
        <v>1</v>
      </c>
      <c r="D46" s="82" t="s">
        <v>449</v>
      </c>
      <c r="E46" s="82" t="s">
        <v>503</v>
      </c>
      <c r="F46" s="79"/>
      <c r="G46" s="82"/>
      <c r="H46" s="85"/>
      <c r="I46" s="43"/>
      <c r="J46" s="38"/>
      <c r="K46" s="38"/>
      <c r="L46" s="38"/>
    </row>
    <row r="47" s="21" customFormat="1" ht="80.1" customHeight="1" spans="1:12">
      <c r="A47" s="78">
        <v>45</v>
      </c>
      <c r="B47" s="82" t="s">
        <v>504</v>
      </c>
      <c r="C47" s="82">
        <v>1</v>
      </c>
      <c r="D47" s="82" t="s">
        <v>449</v>
      </c>
      <c r="E47" s="82" t="s">
        <v>505</v>
      </c>
      <c r="F47" s="79"/>
      <c r="G47" s="82"/>
      <c r="H47" s="85"/>
      <c r="I47" s="43"/>
      <c r="J47" s="38"/>
      <c r="K47" s="38"/>
      <c r="L47" s="38"/>
    </row>
    <row r="48" s="21" customFormat="1" ht="80.1" customHeight="1" spans="1:12">
      <c r="A48" s="78">
        <v>46</v>
      </c>
      <c r="B48" s="82" t="s">
        <v>506</v>
      </c>
      <c r="C48" s="82">
        <v>1</v>
      </c>
      <c r="D48" s="82" t="s">
        <v>449</v>
      </c>
      <c r="E48" s="82" t="s">
        <v>507</v>
      </c>
      <c r="F48" s="79"/>
      <c r="G48" s="82"/>
      <c r="H48" s="85" t="str">
        <f>_xlfn.DISPIMG("ID_B5CC94E50D504DB0AF6163D713D8FA13",1)</f>
        <v>=DISPIMG("ID_B5CC94E50D504DB0AF6163D713D8FA13",1)</v>
      </c>
      <c r="I48" s="43"/>
      <c r="J48" s="38"/>
      <c r="K48" s="38"/>
      <c r="L48" s="38"/>
    </row>
    <row r="49" s="21" customFormat="1" ht="80.1" customHeight="1" spans="1:12">
      <c r="A49" s="78">
        <v>47</v>
      </c>
      <c r="B49" s="82" t="s">
        <v>508</v>
      </c>
      <c r="C49" s="82">
        <v>1</v>
      </c>
      <c r="D49" s="82" t="s">
        <v>449</v>
      </c>
      <c r="E49" s="82" t="s">
        <v>509</v>
      </c>
      <c r="F49" s="79"/>
      <c r="G49" s="82"/>
      <c r="H49" s="83"/>
      <c r="I49" s="43"/>
      <c r="J49" s="38"/>
      <c r="K49" s="38"/>
      <c r="L49" s="38"/>
    </row>
    <row r="50" s="21" customFormat="1" ht="80.1" customHeight="1" spans="1:12">
      <c r="A50" s="78">
        <v>48</v>
      </c>
      <c r="B50" s="82" t="s">
        <v>510</v>
      </c>
      <c r="C50" s="82">
        <v>1</v>
      </c>
      <c r="D50" s="82" t="s">
        <v>449</v>
      </c>
      <c r="E50" s="82" t="s">
        <v>511</v>
      </c>
      <c r="F50" s="79"/>
      <c r="G50" s="82"/>
      <c r="H50" s="85" t="str">
        <f>_xlfn.DISPIMG("ID_FAEC9842C18042E1A6F8D832A83A3EDC",1)</f>
        <v>=DISPIMG("ID_FAEC9842C18042E1A6F8D832A83A3EDC",1)</v>
      </c>
      <c r="I50" s="43"/>
      <c r="J50" s="38"/>
      <c r="K50" s="38"/>
      <c r="L50" s="38"/>
    </row>
    <row r="51" s="21" customFormat="1" ht="80.1" customHeight="1" spans="1:12">
      <c r="A51" s="78">
        <v>49</v>
      </c>
      <c r="B51" s="82" t="s">
        <v>512</v>
      </c>
      <c r="C51" s="82">
        <v>1</v>
      </c>
      <c r="D51" s="82" t="s">
        <v>449</v>
      </c>
      <c r="E51" s="82" t="s">
        <v>513</v>
      </c>
      <c r="F51" s="79"/>
      <c r="G51" s="82"/>
      <c r="H51" s="85" t="str">
        <f>_xlfn.DISPIMG("ID_08CBE5CF47D249848EE7D076FF7C0B36",1)</f>
        <v>=DISPIMG("ID_08CBE5CF47D249848EE7D076FF7C0B36",1)</v>
      </c>
      <c r="I51" s="43"/>
      <c r="J51" s="38"/>
      <c r="K51" s="38"/>
      <c r="L51" s="38"/>
    </row>
    <row r="52" s="21" customFormat="1" ht="80.1" customHeight="1" spans="1:12">
      <c r="A52" s="78">
        <v>50</v>
      </c>
      <c r="B52" s="82" t="s">
        <v>514</v>
      </c>
      <c r="C52" s="82">
        <v>1</v>
      </c>
      <c r="D52" s="82" t="s">
        <v>449</v>
      </c>
      <c r="E52" s="82" t="s">
        <v>515</v>
      </c>
      <c r="F52" s="79"/>
      <c r="G52" s="82"/>
      <c r="H52" s="85" t="str">
        <f>_xlfn.DISPIMG("ID_38B0CC05DA0B4978A1A13BEF2A4AADD0",1)</f>
        <v>=DISPIMG("ID_38B0CC05DA0B4978A1A13BEF2A4AADD0",1)</v>
      </c>
      <c r="I52" s="43"/>
      <c r="J52" s="38"/>
      <c r="K52" s="38"/>
      <c r="L52" s="38"/>
    </row>
    <row r="53" s="21" customFormat="1" ht="80.1" customHeight="1" spans="1:12">
      <c r="A53" s="78">
        <v>51</v>
      </c>
      <c r="B53" s="82" t="s">
        <v>516</v>
      </c>
      <c r="C53" s="82">
        <v>1</v>
      </c>
      <c r="D53" s="82" t="s">
        <v>449</v>
      </c>
      <c r="E53" s="82" t="s">
        <v>517</v>
      </c>
      <c r="F53" s="79"/>
      <c r="G53" s="82"/>
      <c r="H53" s="85" t="str">
        <f>_xlfn.DISPIMG("ID_7B3D17EF60144E119033F67E79C6019C",1)</f>
        <v>=DISPIMG("ID_7B3D17EF60144E119033F67E79C6019C",1)</v>
      </c>
      <c r="I53" s="43"/>
      <c r="J53" s="38"/>
      <c r="K53" s="38"/>
      <c r="L53" s="38"/>
    </row>
    <row r="54" s="21" customFormat="1" ht="80.1" customHeight="1" spans="1:12">
      <c r="A54" s="78">
        <v>52</v>
      </c>
      <c r="B54" s="82" t="s">
        <v>518</v>
      </c>
      <c r="C54" s="82">
        <v>1</v>
      </c>
      <c r="D54" s="82" t="s">
        <v>449</v>
      </c>
      <c r="E54" s="82" t="s">
        <v>519</v>
      </c>
      <c r="F54" s="79"/>
      <c r="G54" s="82"/>
      <c r="H54" s="85" t="str">
        <f>_xlfn.DISPIMG("ID_7DD679D3768245F493D2DBF93805BFDA",1)</f>
        <v>=DISPIMG("ID_7DD679D3768245F493D2DBF93805BFDA",1)</v>
      </c>
      <c r="I54" s="43"/>
      <c r="J54" s="38"/>
      <c r="K54" s="38"/>
      <c r="L54" s="38"/>
    </row>
    <row r="55" s="21" customFormat="1" ht="80.1" customHeight="1" spans="1:12">
      <c r="A55" s="78">
        <v>53</v>
      </c>
      <c r="B55" s="82" t="s">
        <v>466</v>
      </c>
      <c r="C55" s="82">
        <v>1</v>
      </c>
      <c r="D55" s="82" t="s">
        <v>449</v>
      </c>
      <c r="E55" s="82" t="s">
        <v>520</v>
      </c>
      <c r="F55" s="79"/>
      <c r="G55" s="82"/>
      <c r="H55" s="83"/>
      <c r="I55" s="43"/>
      <c r="J55" s="38"/>
      <c r="K55" s="38"/>
      <c r="L55" s="38"/>
    </row>
    <row r="56" s="21" customFormat="1" ht="80.1" customHeight="1" spans="1:12">
      <c r="A56" s="78">
        <v>54</v>
      </c>
      <c r="B56" s="79" t="s">
        <v>521</v>
      </c>
      <c r="C56" s="79">
        <v>6</v>
      </c>
      <c r="D56" s="79" t="s">
        <v>449</v>
      </c>
      <c r="E56" s="81" t="s">
        <v>522</v>
      </c>
      <c r="F56" s="79"/>
      <c r="G56" s="79"/>
      <c r="H56" s="84"/>
      <c r="I56" s="43"/>
      <c r="J56" s="38"/>
      <c r="K56" s="38"/>
      <c r="L56" s="38"/>
    </row>
    <row r="57" s="21" customFormat="1" ht="80.1" customHeight="1" spans="1:12">
      <c r="A57" s="78">
        <v>55</v>
      </c>
      <c r="B57" s="79" t="s">
        <v>523</v>
      </c>
      <c r="C57" s="79">
        <v>1</v>
      </c>
      <c r="D57" s="79" t="s">
        <v>449</v>
      </c>
      <c r="E57" s="79" t="s">
        <v>524</v>
      </c>
      <c r="F57" s="79"/>
      <c r="G57" s="79"/>
      <c r="H57" s="84"/>
      <c r="I57" s="43"/>
      <c r="J57" s="38"/>
      <c r="K57" s="38"/>
      <c r="L57" s="38"/>
    </row>
    <row r="58" s="21" customFormat="1" ht="80.1" customHeight="1" spans="1:12">
      <c r="A58" s="78">
        <v>56</v>
      </c>
      <c r="B58" s="79" t="s">
        <v>525</v>
      </c>
      <c r="C58" s="79">
        <v>1</v>
      </c>
      <c r="D58" s="79" t="s">
        <v>449</v>
      </c>
      <c r="E58" s="79" t="s">
        <v>526</v>
      </c>
      <c r="F58" s="79"/>
      <c r="G58" s="79"/>
      <c r="H58" s="80"/>
      <c r="I58" s="43"/>
      <c r="J58" s="38"/>
      <c r="K58" s="38"/>
      <c r="L58" s="38"/>
    </row>
    <row r="59" s="21" customFormat="1" ht="80.1" customHeight="1" spans="1:12">
      <c r="A59" s="78">
        <v>57</v>
      </c>
      <c r="B59" s="79" t="s">
        <v>527</v>
      </c>
      <c r="C59" s="79">
        <v>2</v>
      </c>
      <c r="D59" s="79" t="s">
        <v>449</v>
      </c>
      <c r="E59" s="79" t="s">
        <v>528</v>
      </c>
      <c r="F59" s="79"/>
      <c r="G59" s="79"/>
      <c r="H59" s="80"/>
      <c r="I59" s="43"/>
      <c r="J59" s="38"/>
      <c r="K59" s="38"/>
      <c r="L59" s="38"/>
    </row>
    <row r="60" s="21" customFormat="1" ht="80.1" customHeight="1" spans="1:12">
      <c r="A60" s="78">
        <v>58</v>
      </c>
      <c r="B60" s="79" t="s">
        <v>529</v>
      </c>
      <c r="C60" s="79">
        <v>2</v>
      </c>
      <c r="D60" s="79" t="s">
        <v>449</v>
      </c>
      <c r="E60" s="79" t="s">
        <v>530</v>
      </c>
      <c r="F60" s="79"/>
      <c r="G60" s="79"/>
      <c r="H60" s="80"/>
      <c r="I60" s="43"/>
      <c r="J60" s="38"/>
      <c r="K60" s="38"/>
      <c r="L60" s="38"/>
    </row>
    <row r="61" s="21" customFormat="1" ht="80.1" customHeight="1" spans="1:12">
      <c r="A61" s="78">
        <v>59</v>
      </c>
      <c r="B61" s="79" t="s">
        <v>531</v>
      </c>
      <c r="C61" s="79">
        <v>1</v>
      </c>
      <c r="D61" s="79" t="s">
        <v>449</v>
      </c>
      <c r="E61" s="79" t="s">
        <v>532</v>
      </c>
      <c r="F61" s="79"/>
      <c r="G61" s="79"/>
      <c r="H61" s="80"/>
      <c r="I61" s="43"/>
      <c r="J61" s="38"/>
      <c r="K61" s="38"/>
      <c r="L61" s="38"/>
    </row>
    <row r="62" s="21" customFormat="1" ht="80.1" customHeight="1" spans="1:12">
      <c r="A62" s="78">
        <v>60</v>
      </c>
      <c r="B62" s="79" t="s">
        <v>533</v>
      </c>
      <c r="C62" s="79">
        <v>1</v>
      </c>
      <c r="D62" s="79" t="s">
        <v>449</v>
      </c>
      <c r="E62" s="79" t="s">
        <v>534</v>
      </c>
      <c r="F62" s="79"/>
      <c r="G62" s="79"/>
      <c r="H62" s="80"/>
      <c r="I62" s="43"/>
      <c r="J62" s="38"/>
      <c r="K62" s="38"/>
      <c r="L62" s="38"/>
    </row>
    <row r="63" s="21" customFormat="1" ht="80.1" customHeight="1" spans="1:12">
      <c r="A63" s="78">
        <v>61</v>
      </c>
      <c r="B63" s="79" t="s">
        <v>36</v>
      </c>
      <c r="C63" s="79">
        <v>4</v>
      </c>
      <c r="D63" s="79" t="s">
        <v>449</v>
      </c>
      <c r="E63" s="79" t="s">
        <v>535</v>
      </c>
      <c r="F63" s="79"/>
      <c r="G63" s="27"/>
      <c r="H63" s="27"/>
      <c r="I63" s="44"/>
      <c r="J63" s="38"/>
      <c r="K63" s="38"/>
      <c r="L63" s="38"/>
    </row>
    <row r="64" s="21" customFormat="1" ht="80.1" customHeight="1" spans="1:12">
      <c r="A64" s="78">
        <v>62</v>
      </c>
      <c r="B64" s="79" t="s">
        <v>112</v>
      </c>
      <c r="C64" s="79">
        <v>1</v>
      </c>
      <c r="D64" s="79" t="s">
        <v>420</v>
      </c>
      <c r="E64" s="79" t="s">
        <v>536</v>
      </c>
      <c r="F64" s="79"/>
      <c r="G64" s="79"/>
      <c r="H64" s="80"/>
      <c r="I64" s="42" t="s">
        <v>537</v>
      </c>
      <c r="J64" s="38"/>
      <c r="K64" s="38"/>
      <c r="L64" s="38"/>
    </row>
    <row r="65" s="21" customFormat="1" ht="80.1" customHeight="1" spans="1:12">
      <c r="A65" s="78">
        <v>63</v>
      </c>
      <c r="B65" s="79" t="s">
        <v>538</v>
      </c>
      <c r="C65" s="79">
        <v>15</v>
      </c>
      <c r="D65" s="79" t="s">
        <v>420</v>
      </c>
      <c r="E65" s="81" t="s">
        <v>539</v>
      </c>
      <c r="F65" s="79"/>
      <c r="G65" s="79"/>
      <c r="H65" s="30"/>
      <c r="I65" s="43"/>
      <c r="J65" s="38"/>
      <c r="K65" s="38"/>
      <c r="L65" s="38"/>
    </row>
    <row r="66" s="21" customFormat="1" ht="80.1" customHeight="1" spans="1:12">
      <c r="A66" s="78">
        <v>64</v>
      </c>
      <c r="B66" s="79" t="s">
        <v>540</v>
      </c>
      <c r="C66" s="79">
        <v>15</v>
      </c>
      <c r="D66" s="79" t="s">
        <v>420</v>
      </c>
      <c r="E66" s="81" t="s">
        <v>539</v>
      </c>
      <c r="F66" s="79"/>
      <c r="G66" s="79"/>
      <c r="H66" s="30"/>
      <c r="I66" s="43"/>
      <c r="J66" s="38"/>
      <c r="K66" s="38"/>
      <c r="L66" s="38"/>
    </row>
    <row r="67" s="21" customFormat="1" ht="80.1" customHeight="1" spans="1:12">
      <c r="A67" s="78">
        <v>65</v>
      </c>
      <c r="B67" s="79" t="s">
        <v>541</v>
      </c>
      <c r="C67" s="79">
        <v>15</v>
      </c>
      <c r="D67" s="79" t="s">
        <v>420</v>
      </c>
      <c r="E67" s="81" t="s">
        <v>539</v>
      </c>
      <c r="F67" s="79"/>
      <c r="G67" s="79"/>
      <c r="H67" s="30"/>
      <c r="I67" s="43"/>
      <c r="J67" s="38"/>
      <c r="K67" s="38"/>
      <c r="L67" s="38"/>
    </row>
    <row r="68" s="21" customFormat="1" ht="80.1" customHeight="1" spans="1:12">
      <c r="A68" s="78">
        <v>66</v>
      </c>
      <c r="B68" s="79" t="s">
        <v>542</v>
      </c>
      <c r="C68" s="79">
        <v>14</v>
      </c>
      <c r="D68" s="79" t="s">
        <v>420</v>
      </c>
      <c r="E68" s="81" t="s">
        <v>543</v>
      </c>
      <c r="F68" s="79"/>
      <c r="G68" s="79"/>
      <c r="H68" s="30"/>
      <c r="I68" s="43"/>
      <c r="J68" s="38"/>
      <c r="K68" s="38"/>
      <c r="L68" s="38"/>
    </row>
    <row r="69" s="21" customFormat="1" ht="100.5" customHeight="1" spans="1:12">
      <c r="A69" s="78">
        <v>67</v>
      </c>
      <c r="B69" s="79" t="s">
        <v>544</v>
      </c>
      <c r="C69" s="79">
        <v>3</v>
      </c>
      <c r="D69" s="79" t="s">
        <v>420</v>
      </c>
      <c r="E69" s="81" t="s">
        <v>545</v>
      </c>
      <c r="F69" s="79"/>
      <c r="G69" s="79"/>
      <c r="H69" s="84"/>
      <c r="I69" s="43"/>
      <c r="J69" s="38"/>
      <c r="K69" s="38"/>
      <c r="L69" s="38"/>
    </row>
    <row r="70" s="21" customFormat="1" ht="80.1" customHeight="1" spans="1:12">
      <c r="A70" s="78">
        <v>68</v>
      </c>
      <c r="B70" s="79" t="s">
        <v>546</v>
      </c>
      <c r="C70" s="79">
        <v>3</v>
      </c>
      <c r="D70" s="79" t="s">
        <v>420</v>
      </c>
      <c r="E70" s="81" t="s">
        <v>545</v>
      </c>
      <c r="F70" s="79"/>
      <c r="G70" s="79"/>
      <c r="H70" s="84"/>
      <c r="I70" s="43"/>
      <c r="J70" s="38"/>
      <c r="K70" s="38"/>
      <c r="L70" s="38"/>
    </row>
    <row r="71" s="21" customFormat="1" ht="80.1" customHeight="1" spans="1:12">
      <c r="A71" s="78">
        <v>69</v>
      </c>
      <c r="B71" s="79" t="s">
        <v>547</v>
      </c>
      <c r="C71" s="79">
        <v>3</v>
      </c>
      <c r="D71" s="79" t="s">
        <v>420</v>
      </c>
      <c r="E71" s="81" t="s">
        <v>545</v>
      </c>
      <c r="F71" s="79"/>
      <c r="G71" s="79"/>
      <c r="H71" s="84"/>
      <c r="I71" s="43"/>
      <c r="J71" s="38"/>
      <c r="K71" s="38"/>
      <c r="L71" s="38"/>
    </row>
    <row r="72" s="21" customFormat="1" ht="80.1" customHeight="1" spans="1:12">
      <c r="A72" s="78">
        <v>70</v>
      </c>
      <c r="B72" s="79" t="s">
        <v>548</v>
      </c>
      <c r="C72" s="79">
        <v>3</v>
      </c>
      <c r="D72" s="79" t="s">
        <v>420</v>
      </c>
      <c r="E72" s="81" t="s">
        <v>545</v>
      </c>
      <c r="F72" s="79"/>
      <c r="G72" s="79"/>
      <c r="H72" s="84"/>
      <c r="I72" s="43"/>
      <c r="J72" s="38"/>
      <c r="K72" s="38"/>
      <c r="L72" s="38"/>
    </row>
    <row r="73" s="21" customFormat="1" ht="80.1" customHeight="1" spans="1:12">
      <c r="A73" s="78">
        <v>71</v>
      </c>
      <c r="B73" s="79" t="s">
        <v>549</v>
      </c>
      <c r="C73" s="79">
        <v>1</v>
      </c>
      <c r="D73" s="79" t="s">
        <v>420</v>
      </c>
      <c r="E73" s="79" t="s">
        <v>550</v>
      </c>
      <c r="F73" s="79"/>
      <c r="G73" s="79"/>
      <c r="H73" s="80"/>
      <c r="I73" s="43"/>
      <c r="J73" s="38"/>
      <c r="K73" s="38"/>
      <c r="L73" s="38"/>
    </row>
    <row r="74" s="21" customFormat="1" ht="80.1" customHeight="1" spans="1:12">
      <c r="A74" s="78">
        <v>72</v>
      </c>
      <c r="B74" s="79" t="s">
        <v>538</v>
      </c>
      <c r="C74" s="79">
        <v>8</v>
      </c>
      <c r="D74" s="79" t="s">
        <v>420</v>
      </c>
      <c r="E74" s="81" t="s">
        <v>539</v>
      </c>
      <c r="F74" s="79"/>
      <c r="G74" s="79"/>
      <c r="H74" s="30"/>
      <c r="I74" s="43"/>
      <c r="J74" s="38"/>
      <c r="K74" s="38"/>
      <c r="L74" s="38"/>
    </row>
    <row r="75" s="21" customFormat="1" ht="80.1" customHeight="1" spans="1:12">
      <c r="A75" s="78">
        <v>73</v>
      </c>
      <c r="B75" s="79" t="s">
        <v>540</v>
      </c>
      <c r="C75" s="79">
        <v>8</v>
      </c>
      <c r="D75" s="79" t="s">
        <v>420</v>
      </c>
      <c r="E75" s="81" t="s">
        <v>551</v>
      </c>
      <c r="F75" s="79"/>
      <c r="G75" s="79"/>
      <c r="H75" s="30"/>
      <c r="I75" s="43"/>
      <c r="J75" s="38"/>
      <c r="K75" s="38"/>
      <c r="L75" s="38"/>
    </row>
    <row r="76" s="21" customFormat="1" ht="80.1" customHeight="1" spans="1:12">
      <c r="A76" s="78">
        <v>74</v>
      </c>
      <c r="B76" s="79" t="s">
        <v>541</v>
      </c>
      <c r="C76" s="79">
        <v>8</v>
      </c>
      <c r="D76" s="79" t="s">
        <v>420</v>
      </c>
      <c r="E76" s="81" t="s">
        <v>551</v>
      </c>
      <c r="F76" s="79"/>
      <c r="G76" s="79"/>
      <c r="H76" s="30"/>
      <c r="I76" s="43"/>
      <c r="J76" s="38"/>
      <c r="K76" s="38"/>
      <c r="L76" s="38"/>
    </row>
    <row r="77" s="21" customFormat="1" ht="80.1" customHeight="1" spans="1:12">
      <c r="A77" s="78">
        <v>75</v>
      </c>
      <c r="B77" s="79" t="s">
        <v>542</v>
      </c>
      <c r="C77" s="79">
        <v>8</v>
      </c>
      <c r="D77" s="79" t="s">
        <v>420</v>
      </c>
      <c r="E77" s="81" t="s">
        <v>551</v>
      </c>
      <c r="F77" s="79"/>
      <c r="G77" s="79"/>
      <c r="H77" s="30"/>
      <c r="I77" s="43"/>
      <c r="J77" s="38"/>
      <c r="K77" s="38"/>
      <c r="L77" s="38"/>
    </row>
    <row r="78" s="21" customFormat="1" ht="80.1" customHeight="1" spans="1:12">
      <c r="A78" s="78">
        <v>76</v>
      </c>
      <c r="B78" s="81" t="s">
        <v>552</v>
      </c>
      <c r="C78" s="79">
        <v>1</v>
      </c>
      <c r="D78" s="79" t="s">
        <v>420</v>
      </c>
      <c r="E78" s="81" t="s">
        <v>553</v>
      </c>
      <c r="F78" s="79"/>
      <c r="G78" s="79"/>
      <c r="H78" s="30"/>
      <c r="I78" s="43"/>
      <c r="J78" s="38"/>
      <c r="K78" s="38"/>
      <c r="L78" s="38"/>
    </row>
    <row r="79" s="21" customFormat="1" ht="80.1" customHeight="1" spans="1:12">
      <c r="A79" s="78">
        <v>77</v>
      </c>
      <c r="B79" s="81" t="s">
        <v>552</v>
      </c>
      <c r="C79" s="79">
        <v>1</v>
      </c>
      <c r="D79" s="79" t="s">
        <v>420</v>
      </c>
      <c r="E79" s="81" t="s">
        <v>553</v>
      </c>
      <c r="F79" s="79"/>
      <c r="G79" s="79"/>
      <c r="H79" s="30"/>
      <c r="I79" s="43"/>
      <c r="J79" s="38"/>
      <c r="K79" s="38"/>
      <c r="L79" s="38"/>
    </row>
    <row r="80" s="21" customFormat="1" ht="80.1" customHeight="1" spans="1:12">
      <c r="A80" s="78">
        <v>78</v>
      </c>
      <c r="B80" s="79" t="s">
        <v>541</v>
      </c>
      <c r="C80" s="79">
        <v>1</v>
      </c>
      <c r="D80" s="79" t="s">
        <v>420</v>
      </c>
      <c r="E80" s="81" t="s">
        <v>554</v>
      </c>
      <c r="F80" s="79"/>
      <c r="G80" s="79"/>
      <c r="H80" s="30"/>
      <c r="I80" s="43"/>
      <c r="J80" s="38"/>
      <c r="K80" s="38"/>
      <c r="L80" s="38"/>
    </row>
    <row r="81" s="21" customFormat="1" ht="80.1" customHeight="1" spans="1:12">
      <c r="A81" s="78">
        <v>79</v>
      </c>
      <c r="B81" s="79" t="s">
        <v>542</v>
      </c>
      <c r="C81" s="79">
        <v>48</v>
      </c>
      <c r="D81" s="79" t="s">
        <v>420</v>
      </c>
      <c r="E81" s="81" t="s">
        <v>555</v>
      </c>
      <c r="F81" s="79"/>
      <c r="G81" s="79"/>
      <c r="H81" s="30"/>
      <c r="I81" s="43"/>
      <c r="J81" s="38"/>
      <c r="K81" s="38"/>
      <c r="L81" s="38"/>
    </row>
    <row r="82" s="21" customFormat="1" ht="80.1" customHeight="1" spans="1:12">
      <c r="A82" s="78">
        <v>80</v>
      </c>
      <c r="B82" s="79" t="s">
        <v>538</v>
      </c>
      <c r="C82" s="79">
        <v>18</v>
      </c>
      <c r="D82" s="79" t="s">
        <v>420</v>
      </c>
      <c r="E82" s="81" t="s">
        <v>428</v>
      </c>
      <c r="F82" s="79"/>
      <c r="G82" s="79"/>
      <c r="H82" s="80" t="str">
        <f t="shared" ref="H82:H85" si="0">_xlfn.DISPIMG("ID_F03791991C51441E900C57C8A73F614E",1)</f>
        <v>=DISPIMG("ID_F03791991C51441E900C57C8A73F614E",1)</v>
      </c>
      <c r="I82" s="43"/>
      <c r="J82" s="38"/>
      <c r="K82" s="38"/>
      <c r="L82" s="38"/>
    </row>
    <row r="83" s="21" customFormat="1" ht="80.1" customHeight="1" spans="1:12">
      <c r="A83" s="78">
        <v>81</v>
      </c>
      <c r="B83" s="79" t="s">
        <v>540</v>
      </c>
      <c r="C83" s="79">
        <v>18</v>
      </c>
      <c r="D83" s="79" t="s">
        <v>420</v>
      </c>
      <c r="E83" s="81" t="s">
        <v>428</v>
      </c>
      <c r="F83" s="79"/>
      <c r="G83" s="79"/>
      <c r="H83" s="80" t="str">
        <f t="shared" si="0"/>
        <v>=DISPIMG("ID_F03791991C51441E900C57C8A73F614E",1)</v>
      </c>
      <c r="I83" s="43"/>
      <c r="J83" s="38"/>
      <c r="K83" s="38"/>
      <c r="L83" s="38"/>
    </row>
    <row r="84" s="21" customFormat="1" ht="80.1" customHeight="1" spans="1:12">
      <c r="A84" s="78">
        <v>82</v>
      </c>
      <c r="B84" s="79" t="s">
        <v>541</v>
      </c>
      <c r="C84" s="79">
        <v>18</v>
      </c>
      <c r="D84" s="79" t="s">
        <v>420</v>
      </c>
      <c r="E84" s="81" t="s">
        <v>428</v>
      </c>
      <c r="F84" s="79"/>
      <c r="G84" s="79"/>
      <c r="H84" s="80" t="str">
        <f t="shared" si="0"/>
        <v>=DISPIMG("ID_F03791991C51441E900C57C8A73F614E",1)</v>
      </c>
      <c r="I84" s="43"/>
      <c r="J84" s="38"/>
      <c r="K84" s="38"/>
      <c r="L84" s="38"/>
    </row>
    <row r="85" s="21" customFormat="1" ht="80.1" customHeight="1" spans="1:12">
      <c r="A85" s="78">
        <v>83</v>
      </c>
      <c r="B85" s="79" t="s">
        <v>542</v>
      </c>
      <c r="C85" s="79">
        <v>18</v>
      </c>
      <c r="D85" s="79" t="s">
        <v>420</v>
      </c>
      <c r="E85" s="81" t="s">
        <v>428</v>
      </c>
      <c r="F85" s="79"/>
      <c r="G85" s="79"/>
      <c r="H85" s="80" t="str">
        <f t="shared" si="0"/>
        <v>=DISPIMG("ID_F03791991C51441E900C57C8A73F614E",1)</v>
      </c>
      <c r="I85" s="43"/>
      <c r="J85" s="38"/>
      <c r="K85" s="38"/>
      <c r="L85" s="38"/>
    </row>
    <row r="86" s="21" customFormat="1" ht="80.1" customHeight="1" spans="1:12">
      <c r="A86" s="78">
        <v>84</v>
      </c>
      <c r="B86" s="82" t="s">
        <v>538</v>
      </c>
      <c r="C86" s="82">
        <v>11</v>
      </c>
      <c r="D86" s="82" t="s">
        <v>420</v>
      </c>
      <c r="E86" s="82" t="s">
        <v>501</v>
      </c>
      <c r="F86" s="79"/>
      <c r="G86" s="82"/>
      <c r="H86" s="88"/>
      <c r="I86" s="43"/>
      <c r="J86" s="38"/>
      <c r="K86" s="38"/>
      <c r="L86" s="38"/>
    </row>
    <row r="87" s="21" customFormat="1" ht="80.1" customHeight="1" spans="1:12">
      <c r="A87" s="78">
        <v>85</v>
      </c>
      <c r="B87" s="82" t="s">
        <v>540</v>
      </c>
      <c r="C87" s="82">
        <v>11</v>
      </c>
      <c r="D87" s="82" t="s">
        <v>420</v>
      </c>
      <c r="E87" s="82" t="s">
        <v>501</v>
      </c>
      <c r="F87" s="79"/>
      <c r="G87" s="82"/>
      <c r="H87" s="88"/>
      <c r="I87" s="43"/>
      <c r="J87" s="38"/>
      <c r="K87" s="38"/>
      <c r="L87" s="38"/>
    </row>
    <row r="88" s="21" customFormat="1" ht="80.1" customHeight="1" spans="1:12">
      <c r="A88" s="78">
        <v>86</v>
      </c>
      <c r="B88" s="82" t="s">
        <v>541</v>
      </c>
      <c r="C88" s="82">
        <v>11</v>
      </c>
      <c r="D88" s="82" t="s">
        <v>420</v>
      </c>
      <c r="E88" s="82" t="s">
        <v>501</v>
      </c>
      <c r="F88" s="79"/>
      <c r="G88" s="82"/>
      <c r="H88" s="88"/>
      <c r="I88" s="43"/>
      <c r="J88" s="38"/>
      <c r="K88" s="38"/>
      <c r="L88" s="38"/>
    </row>
    <row r="89" s="21" customFormat="1" ht="80.1" customHeight="1" spans="1:12">
      <c r="A89" s="78">
        <v>87</v>
      </c>
      <c r="B89" s="82" t="s">
        <v>542</v>
      </c>
      <c r="C89" s="82">
        <v>11</v>
      </c>
      <c r="D89" s="82" t="s">
        <v>420</v>
      </c>
      <c r="E89" s="82" t="s">
        <v>501</v>
      </c>
      <c r="F89" s="79"/>
      <c r="G89" s="82"/>
      <c r="H89" s="88"/>
      <c r="I89" s="43"/>
      <c r="J89" s="38"/>
      <c r="K89" s="38"/>
      <c r="L89" s="38"/>
    </row>
    <row r="90" s="21" customFormat="1" ht="80.1" customHeight="1" spans="1:12">
      <c r="A90" s="78">
        <v>88</v>
      </c>
      <c r="B90" s="79" t="s">
        <v>538</v>
      </c>
      <c r="C90" s="79">
        <v>13</v>
      </c>
      <c r="D90" s="79" t="s">
        <v>420</v>
      </c>
      <c r="E90" s="81" t="s">
        <v>556</v>
      </c>
      <c r="F90" s="79"/>
      <c r="G90" s="79"/>
      <c r="H90" s="30"/>
      <c r="I90" s="43"/>
      <c r="J90" s="38"/>
      <c r="K90" s="38"/>
      <c r="L90" s="38"/>
    </row>
    <row r="91" s="21" customFormat="1" ht="80.1" customHeight="1" spans="1:12">
      <c r="A91" s="78">
        <v>89</v>
      </c>
      <c r="B91" s="79" t="s">
        <v>540</v>
      </c>
      <c r="C91" s="79">
        <v>13</v>
      </c>
      <c r="D91" s="79" t="s">
        <v>420</v>
      </c>
      <c r="E91" s="81" t="s">
        <v>557</v>
      </c>
      <c r="F91" s="79"/>
      <c r="G91" s="79"/>
      <c r="H91" s="30"/>
      <c r="I91" s="43"/>
      <c r="J91" s="38"/>
      <c r="K91" s="38"/>
      <c r="L91" s="38"/>
    </row>
    <row r="92" s="21" customFormat="1" ht="80.1" customHeight="1" spans="1:12">
      <c r="A92" s="78">
        <v>90</v>
      </c>
      <c r="B92" s="79" t="s">
        <v>541</v>
      </c>
      <c r="C92" s="79">
        <v>1</v>
      </c>
      <c r="D92" s="79" t="s">
        <v>420</v>
      </c>
      <c r="E92" s="81" t="s">
        <v>524</v>
      </c>
      <c r="F92" s="79"/>
      <c r="G92" s="79"/>
      <c r="H92" s="30"/>
      <c r="I92" s="43"/>
      <c r="J92" s="38"/>
      <c r="K92" s="38"/>
      <c r="L92" s="38"/>
    </row>
    <row r="93" s="21" customFormat="1" ht="80.1" customHeight="1" spans="1:12">
      <c r="A93" s="78">
        <v>91</v>
      </c>
      <c r="B93" s="79" t="s">
        <v>542</v>
      </c>
      <c r="C93" s="79">
        <v>14</v>
      </c>
      <c r="D93" s="79" t="s">
        <v>420</v>
      </c>
      <c r="E93" s="81" t="s">
        <v>558</v>
      </c>
      <c r="F93" s="79"/>
      <c r="G93" s="79"/>
      <c r="H93" s="30"/>
      <c r="I93" s="43"/>
      <c r="J93" s="38"/>
      <c r="K93" s="38"/>
      <c r="L93" s="38"/>
    </row>
    <row r="94" s="21" customFormat="1" ht="80.1" customHeight="1" spans="1:12">
      <c r="A94" s="78">
        <v>92</v>
      </c>
      <c r="B94" s="79" t="s">
        <v>559</v>
      </c>
      <c r="C94" s="79">
        <v>12</v>
      </c>
      <c r="D94" s="79" t="s">
        <v>420</v>
      </c>
      <c r="E94" s="81" t="s">
        <v>558</v>
      </c>
      <c r="F94" s="79"/>
      <c r="G94" s="79"/>
      <c r="H94" s="84"/>
      <c r="I94" s="43"/>
      <c r="J94" s="38"/>
      <c r="K94" s="38"/>
      <c r="L94" s="38"/>
    </row>
    <row r="95" s="21" customFormat="1" ht="80.1" customHeight="1" spans="1:12">
      <c r="A95" s="78">
        <v>93</v>
      </c>
      <c r="B95" s="79" t="s">
        <v>559</v>
      </c>
      <c r="C95" s="79">
        <v>7</v>
      </c>
      <c r="D95" s="79" t="s">
        <v>420</v>
      </c>
      <c r="E95" s="27" t="s">
        <v>560</v>
      </c>
      <c r="F95" s="79"/>
      <c r="G95" s="27"/>
      <c r="H95" s="27"/>
      <c r="I95" s="44"/>
      <c r="J95" s="38"/>
      <c r="K95" s="38"/>
      <c r="L95" s="38"/>
    </row>
    <row r="96" s="21" customFormat="1" ht="80.1" customHeight="1" spans="1:12">
      <c r="A96" s="78">
        <v>94</v>
      </c>
      <c r="B96" s="82" t="s">
        <v>561</v>
      </c>
      <c r="C96" s="82">
        <v>11</v>
      </c>
      <c r="D96" s="82" t="s">
        <v>562</v>
      </c>
      <c r="E96" s="82" t="s">
        <v>501</v>
      </c>
      <c r="F96" s="82"/>
      <c r="G96" s="82"/>
      <c r="H96" s="83"/>
      <c r="I96" s="42" t="s">
        <v>85</v>
      </c>
      <c r="J96" s="38"/>
      <c r="K96" s="38"/>
      <c r="L96" s="38"/>
    </row>
    <row r="97" s="21" customFormat="1" ht="80.1" customHeight="1" spans="1:12">
      <c r="A97" s="78">
        <v>95</v>
      </c>
      <c r="B97" s="27" t="s">
        <v>561</v>
      </c>
      <c r="C97" s="27">
        <v>15</v>
      </c>
      <c r="D97" s="79" t="s">
        <v>562</v>
      </c>
      <c r="E97" s="63" t="s">
        <v>563</v>
      </c>
      <c r="F97" s="27"/>
      <c r="G97" s="27"/>
      <c r="H97" s="30"/>
      <c r="I97" s="43"/>
      <c r="J97" s="38"/>
      <c r="K97" s="38"/>
      <c r="L97" s="38"/>
    </row>
    <row r="98" s="21" customFormat="1" ht="80.1" customHeight="1" spans="1:12">
      <c r="A98" s="78">
        <v>96</v>
      </c>
      <c r="B98" s="79" t="s">
        <v>561</v>
      </c>
      <c r="C98" s="79">
        <v>13</v>
      </c>
      <c r="D98" s="79" t="s">
        <v>562</v>
      </c>
      <c r="E98" s="81" t="s">
        <v>476</v>
      </c>
      <c r="F98" s="79"/>
      <c r="G98" s="79"/>
      <c r="H98" s="30"/>
      <c r="I98" s="43"/>
      <c r="J98" s="38"/>
      <c r="K98" s="38"/>
      <c r="L98" s="38"/>
    </row>
    <row r="99" s="21" customFormat="1" ht="80.1" customHeight="1" spans="1:12">
      <c r="A99" s="78">
        <v>97</v>
      </c>
      <c r="B99" s="79" t="s">
        <v>561</v>
      </c>
      <c r="C99" s="79">
        <v>14</v>
      </c>
      <c r="D99" s="79" t="s">
        <v>562</v>
      </c>
      <c r="E99" s="81" t="s">
        <v>564</v>
      </c>
      <c r="F99" s="79"/>
      <c r="G99" s="79"/>
      <c r="H99" s="80"/>
      <c r="I99" s="43"/>
      <c r="J99" s="38"/>
      <c r="K99" s="38"/>
      <c r="L99" s="38"/>
    </row>
    <row r="100" s="21" customFormat="1" ht="80.1" customHeight="1" spans="1:12">
      <c r="A100" s="78">
        <v>98</v>
      </c>
      <c r="B100" s="79" t="s">
        <v>565</v>
      </c>
      <c r="C100" s="79">
        <v>16</v>
      </c>
      <c r="D100" s="79" t="s">
        <v>566</v>
      </c>
      <c r="E100" s="81" t="s">
        <v>567</v>
      </c>
      <c r="F100" s="79"/>
      <c r="G100" s="79"/>
      <c r="H100" s="30"/>
      <c r="I100" s="43"/>
      <c r="J100" s="38"/>
      <c r="K100" s="38"/>
      <c r="L100" s="38"/>
    </row>
    <row r="101" s="21" customFormat="1" ht="80.1" customHeight="1" spans="1:12">
      <c r="A101" s="78">
        <v>99</v>
      </c>
      <c r="B101" s="82" t="s">
        <v>565</v>
      </c>
      <c r="C101" s="82">
        <v>13</v>
      </c>
      <c r="D101" s="82" t="s">
        <v>566</v>
      </c>
      <c r="E101" s="89" t="s">
        <v>568</v>
      </c>
      <c r="F101" s="82"/>
      <c r="G101" s="82"/>
      <c r="H101" s="88"/>
      <c r="I101" s="43"/>
      <c r="J101" s="38"/>
      <c r="K101" s="38"/>
      <c r="L101" s="38"/>
    </row>
    <row r="102" s="21" customFormat="1" ht="80.1" customHeight="1" spans="1:12">
      <c r="A102" s="78">
        <v>100</v>
      </c>
      <c r="B102" s="79" t="s">
        <v>561</v>
      </c>
      <c r="C102" s="79">
        <v>26</v>
      </c>
      <c r="D102" s="79" t="s">
        <v>562</v>
      </c>
      <c r="E102" s="81" t="s">
        <v>569</v>
      </c>
      <c r="F102" s="79"/>
      <c r="G102" s="79"/>
      <c r="H102" s="80"/>
      <c r="I102" s="44"/>
      <c r="J102" s="38"/>
      <c r="K102" s="38"/>
      <c r="L102" s="38"/>
    </row>
    <row r="103" s="23" customFormat="1" ht="80.1" customHeight="1" spans="1:12">
      <c r="A103" s="78">
        <v>101</v>
      </c>
      <c r="B103" s="81" t="s">
        <v>359</v>
      </c>
      <c r="C103" s="81">
        <v>4</v>
      </c>
      <c r="D103" s="81" t="s">
        <v>570</v>
      </c>
      <c r="E103" s="81" t="s">
        <v>571</v>
      </c>
      <c r="F103" s="81"/>
      <c r="G103" s="79"/>
      <c r="H103" s="90"/>
      <c r="I103" s="42" t="s">
        <v>76</v>
      </c>
      <c r="J103" s="75"/>
      <c r="K103" s="75"/>
      <c r="L103" s="75"/>
    </row>
    <row r="104" s="21" customFormat="1" ht="80.1" customHeight="1" spans="1:12">
      <c r="A104" s="78">
        <v>102</v>
      </c>
      <c r="B104" s="81" t="s">
        <v>359</v>
      </c>
      <c r="C104" s="81">
        <v>4</v>
      </c>
      <c r="D104" s="81" t="s">
        <v>570</v>
      </c>
      <c r="E104" s="79" t="s">
        <v>572</v>
      </c>
      <c r="F104" s="81"/>
      <c r="G104" s="79"/>
      <c r="H104" s="30"/>
      <c r="I104" s="43"/>
      <c r="J104" s="38"/>
      <c r="K104" s="38"/>
      <c r="L104" s="38"/>
    </row>
    <row r="105" s="21" customFormat="1" ht="80.1" customHeight="1" spans="1:12">
      <c r="A105" s="78">
        <v>103</v>
      </c>
      <c r="B105" s="81" t="s">
        <v>359</v>
      </c>
      <c r="C105" s="81">
        <v>4</v>
      </c>
      <c r="D105" s="81" t="s">
        <v>570</v>
      </c>
      <c r="E105" s="81" t="s">
        <v>571</v>
      </c>
      <c r="F105" s="81"/>
      <c r="G105" s="79"/>
      <c r="H105" s="90"/>
      <c r="I105" s="43"/>
      <c r="J105" s="38"/>
      <c r="K105" s="38"/>
      <c r="L105" s="38"/>
    </row>
    <row r="106" s="21" customFormat="1" ht="80.1" customHeight="1" spans="1:12">
      <c r="A106" s="78">
        <v>104</v>
      </c>
      <c r="B106" s="81" t="s">
        <v>359</v>
      </c>
      <c r="C106" s="81">
        <v>5</v>
      </c>
      <c r="D106" s="81" t="s">
        <v>570</v>
      </c>
      <c r="E106" s="81" t="s">
        <v>573</v>
      </c>
      <c r="F106" s="81"/>
      <c r="G106" s="79"/>
      <c r="H106" s="90"/>
      <c r="I106" s="43"/>
      <c r="J106" s="38"/>
      <c r="K106" s="38"/>
      <c r="L106" s="38"/>
    </row>
    <row r="107" s="21" customFormat="1" ht="80.1" customHeight="1" spans="1:12">
      <c r="A107" s="78">
        <v>105</v>
      </c>
      <c r="B107" s="89" t="s">
        <v>359</v>
      </c>
      <c r="C107" s="89">
        <v>4</v>
      </c>
      <c r="D107" s="89" t="s">
        <v>570</v>
      </c>
      <c r="E107" s="89" t="s">
        <v>574</v>
      </c>
      <c r="F107" s="89"/>
      <c r="G107" s="82"/>
      <c r="H107" s="91"/>
      <c r="I107" s="43"/>
      <c r="J107" s="38"/>
      <c r="K107" s="38"/>
      <c r="L107" s="38"/>
    </row>
    <row r="108" s="21" customFormat="1" ht="80.1" customHeight="1" spans="1:12">
      <c r="A108" s="78">
        <v>106</v>
      </c>
      <c r="B108" s="81" t="s">
        <v>359</v>
      </c>
      <c r="C108" s="81">
        <v>4</v>
      </c>
      <c r="D108" s="81" t="s">
        <v>570</v>
      </c>
      <c r="E108" s="81" t="s">
        <v>575</v>
      </c>
      <c r="F108" s="81"/>
      <c r="G108" s="79"/>
      <c r="H108" s="90"/>
      <c r="I108" s="44"/>
      <c r="J108" s="38"/>
      <c r="K108" s="38"/>
      <c r="L108" s="38"/>
    </row>
    <row r="109" s="21" customFormat="1" ht="80.1" customHeight="1" spans="1:12">
      <c r="A109" s="78">
        <v>107</v>
      </c>
      <c r="B109" s="82" t="s">
        <v>576</v>
      </c>
      <c r="C109" s="82">
        <v>2</v>
      </c>
      <c r="D109" s="82" t="s">
        <v>577</v>
      </c>
      <c r="E109" s="82" t="s">
        <v>578</v>
      </c>
      <c r="F109" s="82"/>
      <c r="G109" s="82"/>
      <c r="H109" s="83"/>
      <c r="I109" s="42" t="s">
        <v>579</v>
      </c>
      <c r="J109" s="38"/>
      <c r="K109" s="38"/>
      <c r="L109" s="38"/>
    </row>
    <row r="110" s="21" customFormat="1" ht="80.1" customHeight="1" spans="1:12">
      <c r="A110" s="78">
        <v>108</v>
      </c>
      <c r="B110" s="79" t="s">
        <v>580</v>
      </c>
      <c r="C110" s="79">
        <v>1</v>
      </c>
      <c r="D110" s="79" t="s">
        <v>577</v>
      </c>
      <c r="E110" s="79" t="s">
        <v>578</v>
      </c>
      <c r="F110" s="79"/>
      <c r="G110" s="79"/>
      <c r="H110" s="80"/>
      <c r="I110" s="43"/>
      <c r="J110" s="38"/>
      <c r="K110" s="38"/>
      <c r="L110" s="38"/>
    </row>
    <row r="111" s="21" customFormat="1" ht="80.1" customHeight="1" spans="1:12">
      <c r="A111" s="78">
        <v>109</v>
      </c>
      <c r="B111" s="79" t="s">
        <v>580</v>
      </c>
      <c r="C111" s="79">
        <v>2</v>
      </c>
      <c r="D111" s="79" t="s">
        <v>577</v>
      </c>
      <c r="E111" s="79" t="s">
        <v>578</v>
      </c>
      <c r="F111" s="79"/>
      <c r="G111" s="79"/>
      <c r="H111" s="80"/>
      <c r="I111" s="43"/>
      <c r="J111" s="38"/>
      <c r="K111" s="38"/>
      <c r="L111" s="38"/>
    </row>
    <row r="112" s="21" customFormat="1" ht="80.1" customHeight="1" spans="1:12">
      <c r="A112" s="78">
        <v>110</v>
      </c>
      <c r="B112" s="79" t="s">
        <v>580</v>
      </c>
      <c r="C112" s="79">
        <v>2</v>
      </c>
      <c r="D112" s="79" t="s">
        <v>577</v>
      </c>
      <c r="E112" s="79" t="s">
        <v>578</v>
      </c>
      <c r="F112" s="79"/>
      <c r="G112" s="79"/>
      <c r="H112" s="80"/>
      <c r="I112" s="43"/>
      <c r="J112" s="38"/>
      <c r="K112" s="38"/>
      <c r="L112" s="38"/>
    </row>
    <row r="113" s="21" customFormat="1" ht="80.1" customHeight="1" spans="1:12">
      <c r="A113" s="78">
        <v>111</v>
      </c>
      <c r="B113" s="79" t="s">
        <v>580</v>
      </c>
      <c r="C113" s="79">
        <v>2</v>
      </c>
      <c r="D113" s="79" t="s">
        <v>577</v>
      </c>
      <c r="E113" s="79" t="s">
        <v>581</v>
      </c>
      <c r="F113" s="79"/>
      <c r="G113" s="79"/>
      <c r="H113" s="80"/>
      <c r="I113" s="44"/>
      <c r="J113" s="38"/>
      <c r="K113" s="38"/>
      <c r="L113" s="38"/>
    </row>
    <row r="114" s="21" customFormat="1" ht="80.1" customHeight="1" spans="1:12">
      <c r="A114" s="78">
        <v>112</v>
      </c>
      <c r="B114" s="79" t="s">
        <v>74</v>
      </c>
      <c r="C114" s="79">
        <v>4</v>
      </c>
      <c r="D114" s="79" t="s">
        <v>570</v>
      </c>
      <c r="E114" s="81" t="s">
        <v>582</v>
      </c>
      <c r="F114" s="79"/>
      <c r="G114" s="79"/>
      <c r="H114" s="80"/>
      <c r="I114" s="42" t="s">
        <v>76</v>
      </c>
      <c r="J114" s="38"/>
      <c r="K114" s="38"/>
      <c r="L114" s="38"/>
    </row>
    <row r="115" s="21" customFormat="1" ht="80.1" customHeight="1" spans="1:12">
      <c r="A115" s="78">
        <v>113</v>
      </c>
      <c r="B115" s="79" t="s">
        <v>583</v>
      </c>
      <c r="C115" s="79">
        <v>4</v>
      </c>
      <c r="D115" s="79" t="s">
        <v>570</v>
      </c>
      <c r="E115" s="81" t="s">
        <v>584</v>
      </c>
      <c r="F115" s="79"/>
      <c r="G115" s="79"/>
      <c r="H115" s="80"/>
      <c r="I115" s="43"/>
      <c r="J115" s="38"/>
      <c r="K115" s="38"/>
      <c r="L115" s="38"/>
    </row>
    <row r="116" s="21" customFormat="1" ht="80.1" customHeight="1" spans="1:12">
      <c r="A116" s="78">
        <v>114</v>
      </c>
      <c r="B116" s="79" t="s">
        <v>583</v>
      </c>
      <c r="C116" s="79">
        <v>4</v>
      </c>
      <c r="D116" s="79" t="s">
        <v>570</v>
      </c>
      <c r="E116" s="79" t="s">
        <v>572</v>
      </c>
      <c r="F116" s="79"/>
      <c r="G116" s="79"/>
      <c r="H116" s="30"/>
      <c r="I116" s="43"/>
      <c r="J116" s="38"/>
      <c r="K116" s="38"/>
      <c r="L116" s="38"/>
    </row>
    <row r="117" s="21" customFormat="1" ht="80.1" customHeight="1" spans="1:12">
      <c r="A117" s="78">
        <v>115</v>
      </c>
      <c r="B117" s="79" t="s">
        <v>583</v>
      </c>
      <c r="C117" s="79">
        <v>5</v>
      </c>
      <c r="D117" s="79" t="s">
        <v>570</v>
      </c>
      <c r="E117" s="81" t="s">
        <v>585</v>
      </c>
      <c r="F117" s="79"/>
      <c r="G117" s="79"/>
      <c r="H117" s="80"/>
      <c r="I117" s="43"/>
      <c r="J117" s="38"/>
      <c r="K117" s="38"/>
      <c r="L117" s="38"/>
    </row>
    <row r="118" s="21" customFormat="1" ht="80.1" customHeight="1" spans="1:12">
      <c r="A118" s="78">
        <v>116</v>
      </c>
      <c r="B118" s="79" t="s">
        <v>583</v>
      </c>
      <c r="C118" s="79">
        <v>4</v>
      </c>
      <c r="D118" s="79" t="s">
        <v>570</v>
      </c>
      <c r="E118" s="81" t="s">
        <v>586</v>
      </c>
      <c r="F118" s="79"/>
      <c r="G118" s="79"/>
      <c r="H118" s="80"/>
      <c r="I118" s="44"/>
      <c r="J118" s="38"/>
      <c r="K118" s="38"/>
      <c r="L118" s="38"/>
    </row>
    <row r="119" s="21" customFormat="1" ht="80.1" customHeight="1" spans="1:12">
      <c r="A119" s="78">
        <v>117</v>
      </c>
      <c r="B119" s="79" t="s">
        <v>441</v>
      </c>
      <c r="C119" s="79">
        <v>2</v>
      </c>
      <c r="D119" s="79" t="s">
        <v>442</v>
      </c>
      <c r="E119" s="79" t="s">
        <v>587</v>
      </c>
      <c r="F119" s="79"/>
      <c r="G119" s="79"/>
      <c r="H119" s="80"/>
      <c r="I119" s="41" t="s">
        <v>35</v>
      </c>
      <c r="J119" s="38"/>
      <c r="K119" s="38"/>
      <c r="L119" s="38"/>
    </row>
    <row r="120" s="21" customFormat="1" ht="80.1" customHeight="1" spans="1:12">
      <c r="A120" s="78">
        <v>118</v>
      </c>
      <c r="B120" s="82" t="s">
        <v>70</v>
      </c>
      <c r="C120" s="82">
        <v>2</v>
      </c>
      <c r="D120" s="82" t="s">
        <v>588</v>
      </c>
      <c r="E120" s="82" t="s">
        <v>589</v>
      </c>
      <c r="F120" s="82"/>
      <c r="G120" s="82"/>
      <c r="H120" s="83"/>
      <c r="I120" s="42" t="s">
        <v>169</v>
      </c>
      <c r="J120" s="38"/>
      <c r="K120" s="38"/>
      <c r="L120" s="38"/>
    </row>
    <row r="121" s="21" customFormat="1" ht="80.1" customHeight="1" spans="1:12">
      <c r="A121" s="78">
        <v>119</v>
      </c>
      <c r="B121" s="79" t="s">
        <v>70</v>
      </c>
      <c r="C121" s="79">
        <v>2</v>
      </c>
      <c r="D121" s="79" t="s">
        <v>588</v>
      </c>
      <c r="E121" s="79" t="s">
        <v>590</v>
      </c>
      <c r="F121" s="79"/>
      <c r="G121" s="79"/>
      <c r="H121" s="80"/>
      <c r="I121" s="43"/>
      <c r="J121" s="38"/>
      <c r="K121" s="38"/>
      <c r="L121" s="38"/>
    </row>
    <row r="122" s="21" customFormat="1" ht="80.1" customHeight="1" spans="1:12">
      <c r="A122" s="78">
        <v>120</v>
      </c>
      <c r="B122" s="79" t="s">
        <v>441</v>
      </c>
      <c r="C122" s="79">
        <v>2</v>
      </c>
      <c r="D122" s="79" t="s">
        <v>442</v>
      </c>
      <c r="E122" s="79" t="s">
        <v>587</v>
      </c>
      <c r="F122" s="79"/>
      <c r="G122" s="79"/>
      <c r="H122" s="80"/>
      <c r="I122" s="43"/>
      <c r="J122" s="38"/>
      <c r="K122" s="38"/>
      <c r="L122" s="38"/>
    </row>
    <row r="123" s="21" customFormat="1" ht="80.1" customHeight="1" spans="1:12">
      <c r="A123" s="78">
        <v>121</v>
      </c>
      <c r="B123" s="79" t="s">
        <v>70</v>
      </c>
      <c r="C123" s="79">
        <v>2</v>
      </c>
      <c r="D123" s="79" t="s">
        <v>588</v>
      </c>
      <c r="E123" s="79" t="s">
        <v>590</v>
      </c>
      <c r="F123" s="79"/>
      <c r="G123" s="79"/>
      <c r="H123" s="80"/>
      <c r="I123" s="43"/>
      <c r="J123" s="38"/>
      <c r="K123" s="38"/>
      <c r="L123" s="38"/>
    </row>
    <row r="124" s="21" customFormat="1" ht="80.1" customHeight="1" spans="1:12">
      <c r="A124" s="78">
        <v>122</v>
      </c>
      <c r="B124" s="79" t="s">
        <v>70</v>
      </c>
      <c r="C124" s="79">
        <v>3</v>
      </c>
      <c r="D124" s="79" t="s">
        <v>588</v>
      </c>
      <c r="E124" s="79" t="s">
        <v>572</v>
      </c>
      <c r="F124" s="79"/>
      <c r="G124" s="79"/>
      <c r="H124" s="30"/>
      <c r="I124" s="43"/>
      <c r="J124" s="38"/>
      <c r="K124" s="38"/>
      <c r="L124" s="38"/>
    </row>
    <row r="125" s="21" customFormat="1" ht="80.1" customHeight="1" spans="1:12">
      <c r="A125" s="78">
        <v>123</v>
      </c>
      <c r="B125" s="79" t="s">
        <v>70</v>
      </c>
      <c r="C125" s="79">
        <v>2</v>
      </c>
      <c r="D125" s="79" t="s">
        <v>588</v>
      </c>
      <c r="E125" s="79" t="s">
        <v>591</v>
      </c>
      <c r="F125" s="79"/>
      <c r="G125" s="79"/>
      <c r="H125" s="80"/>
      <c r="I125" s="44"/>
      <c r="J125" s="38"/>
      <c r="K125" s="38"/>
      <c r="L125" s="38"/>
    </row>
    <row r="126" s="21" customFormat="1" ht="80.1" customHeight="1" spans="1:12">
      <c r="A126" s="78">
        <v>124</v>
      </c>
      <c r="B126" s="79" t="s">
        <v>592</v>
      </c>
      <c r="C126" s="79">
        <v>8</v>
      </c>
      <c r="D126" s="79" t="s">
        <v>593</v>
      </c>
      <c r="E126" s="79" t="s">
        <v>594</v>
      </c>
      <c r="F126" s="79"/>
      <c r="G126" s="79"/>
      <c r="H126" s="80"/>
      <c r="I126" s="41" t="s">
        <v>215</v>
      </c>
      <c r="J126" s="38"/>
      <c r="K126" s="38"/>
      <c r="L126" s="38"/>
    </row>
    <row r="127" s="21" customFormat="1" ht="80.1" customHeight="1" spans="1:12">
      <c r="A127" s="78">
        <v>125</v>
      </c>
      <c r="B127" s="79" t="s">
        <v>595</v>
      </c>
      <c r="C127" s="79">
        <v>1</v>
      </c>
      <c r="D127" s="79" t="s">
        <v>596</v>
      </c>
      <c r="E127" s="79" t="s">
        <v>597</v>
      </c>
      <c r="F127" s="79"/>
      <c r="G127" s="79"/>
      <c r="H127" s="80"/>
      <c r="I127" s="90" t="s">
        <v>35</v>
      </c>
      <c r="J127" s="38"/>
      <c r="K127" s="38"/>
      <c r="L127" s="38"/>
    </row>
    <row r="128" s="21" customFormat="1" ht="80.1" customHeight="1" spans="1:12">
      <c r="A128" s="78">
        <v>126</v>
      </c>
      <c r="B128" s="79" t="s">
        <v>598</v>
      </c>
      <c r="C128" s="79">
        <v>18</v>
      </c>
      <c r="D128" s="79" t="s">
        <v>599</v>
      </c>
      <c r="E128" s="81" t="s">
        <v>600</v>
      </c>
      <c r="F128" s="79"/>
      <c r="G128" s="79"/>
      <c r="H128" s="30"/>
      <c r="I128" s="42" t="s">
        <v>69</v>
      </c>
      <c r="J128" s="38"/>
      <c r="K128" s="38"/>
      <c r="L128" s="38"/>
    </row>
    <row r="129" s="21" customFormat="1" ht="80.1" customHeight="1" spans="1:12">
      <c r="A129" s="78">
        <v>127</v>
      </c>
      <c r="B129" s="79" t="s">
        <v>601</v>
      </c>
      <c r="C129" s="79">
        <v>1</v>
      </c>
      <c r="D129" s="79" t="s">
        <v>599</v>
      </c>
      <c r="E129" s="81" t="s">
        <v>460</v>
      </c>
      <c r="F129" s="79"/>
      <c r="G129" s="79"/>
      <c r="H129" s="30" t="str">
        <f>_xlfn.DISPIMG("ID_1E6DB99A782D4A9DADC410A23D7146E9",1)</f>
        <v>=DISPIMG("ID_1E6DB99A782D4A9DADC410A23D7146E9",1)</v>
      </c>
      <c r="I129" s="43"/>
      <c r="J129" s="38"/>
      <c r="K129" s="38"/>
      <c r="L129" s="38"/>
    </row>
    <row r="130" s="21" customFormat="1" ht="80.1" customHeight="1" spans="1:12">
      <c r="A130" s="78">
        <v>128</v>
      </c>
      <c r="B130" s="79" t="s">
        <v>602</v>
      </c>
      <c r="C130" s="79">
        <v>3</v>
      </c>
      <c r="D130" s="79" t="s">
        <v>599</v>
      </c>
      <c r="E130" s="81" t="s">
        <v>545</v>
      </c>
      <c r="F130" s="79"/>
      <c r="G130" s="79"/>
      <c r="H130" s="30" t="str">
        <f>_xlfn.DISPIMG("ID_12AF338722E74CADA9CC458DABA40C3A",1)</f>
        <v>=DISPIMG("ID_12AF338722E74CADA9CC458DABA40C3A",1)</v>
      </c>
      <c r="I130" s="43"/>
      <c r="J130" s="38"/>
      <c r="K130" s="38"/>
      <c r="L130" s="38"/>
    </row>
    <row r="131" s="21" customFormat="1" ht="80.1" customHeight="1" spans="1:12">
      <c r="A131" s="78">
        <v>129</v>
      </c>
      <c r="B131" s="79" t="s">
        <v>603</v>
      </c>
      <c r="C131" s="79">
        <v>3</v>
      </c>
      <c r="D131" s="79" t="s">
        <v>599</v>
      </c>
      <c r="E131" s="81" t="s">
        <v>545</v>
      </c>
      <c r="F131" s="79"/>
      <c r="G131" s="79"/>
      <c r="H131" s="30" t="str">
        <f>_xlfn.DISPIMG("ID_43FC04B081014B3CABB992EDCF67D1AE",1)</f>
        <v>=DISPIMG("ID_43FC04B081014B3CABB992EDCF67D1AE",1)</v>
      </c>
      <c r="I131" s="43"/>
      <c r="J131" s="38"/>
      <c r="K131" s="38"/>
      <c r="L131" s="38"/>
    </row>
    <row r="132" s="21" customFormat="1" ht="80.1" customHeight="1" spans="1:12">
      <c r="A132" s="78">
        <v>130</v>
      </c>
      <c r="B132" s="79" t="s">
        <v>598</v>
      </c>
      <c r="C132" s="79">
        <v>8</v>
      </c>
      <c r="D132" s="79" t="s">
        <v>599</v>
      </c>
      <c r="E132" s="81" t="s">
        <v>551</v>
      </c>
      <c r="F132" s="79"/>
      <c r="G132" s="79"/>
      <c r="H132" s="30" t="str">
        <f>_xlfn.DISPIMG("ID_7AD6327EF0864BC395E621C9206C987C",1)</f>
        <v>=DISPIMG("ID_7AD6327EF0864BC395E621C9206C987C",1)</v>
      </c>
      <c r="I132" s="43"/>
      <c r="J132" s="38"/>
      <c r="K132" s="38"/>
      <c r="L132" s="38"/>
    </row>
    <row r="133" s="21" customFormat="1" ht="80.1" customHeight="1" spans="1:12">
      <c r="A133" s="78">
        <v>131</v>
      </c>
      <c r="B133" s="79" t="s">
        <v>602</v>
      </c>
      <c r="C133" s="79">
        <v>8</v>
      </c>
      <c r="D133" s="79" t="s">
        <v>599</v>
      </c>
      <c r="E133" s="81" t="s">
        <v>545</v>
      </c>
      <c r="F133" s="79"/>
      <c r="G133" s="79"/>
      <c r="H133" s="30" t="str">
        <f>_xlfn.DISPIMG("ID_E21261FAFD714F91B06C893ED19A4514",1)</f>
        <v>=DISPIMG("ID_E21261FAFD714F91B06C893ED19A4514",1)</v>
      </c>
      <c r="I133" s="43"/>
      <c r="J133" s="38"/>
      <c r="K133" s="38"/>
      <c r="L133" s="38"/>
    </row>
    <row r="134" s="21" customFormat="1" ht="80.1" customHeight="1" spans="1:12">
      <c r="A134" s="78">
        <v>132</v>
      </c>
      <c r="B134" s="87" t="s">
        <v>604</v>
      </c>
      <c r="C134" s="79">
        <v>8</v>
      </c>
      <c r="D134" s="79" t="s">
        <v>167</v>
      </c>
      <c r="E134" s="81" t="s">
        <v>605</v>
      </c>
      <c r="F134" s="79"/>
      <c r="G134" s="79"/>
      <c r="H134" s="30" t="str">
        <f>_xlfn.DISPIMG("ID_6BF4B69C6A9F46F79FFCC1B35DEA7515",1)</f>
        <v>=DISPIMG("ID_6BF4B69C6A9F46F79FFCC1B35DEA7515",1)</v>
      </c>
      <c r="I134" s="43"/>
      <c r="J134" s="38"/>
      <c r="K134" s="38"/>
      <c r="L134" s="38"/>
    </row>
    <row r="135" s="21" customFormat="1" ht="80.1" customHeight="1" spans="1:12">
      <c r="A135" s="78">
        <v>133</v>
      </c>
      <c r="B135" s="79" t="s">
        <v>598</v>
      </c>
      <c r="C135" s="79">
        <v>22</v>
      </c>
      <c r="D135" s="79" t="s">
        <v>599</v>
      </c>
      <c r="E135" s="81" t="s">
        <v>606</v>
      </c>
      <c r="F135" s="79"/>
      <c r="G135" s="79"/>
      <c r="H135" s="30" t="str">
        <f>_xlfn.DISPIMG("ID_2214B6B157AD44118F2A80890983AA00",1)</f>
        <v>=DISPIMG("ID_2214B6B157AD44118F2A80890983AA00",1)</v>
      </c>
      <c r="I135" s="43"/>
      <c r="J135" s="38"/>
      <c r="K135" s="38"/>
      <c r="L135" s="38"/>
    </row>
    <row r="136" s="21" customFormat="1" ht="80.1" customHeight="1" spans="1:12">
      <c r="A136" s="78">
        <v>134</v>
      </c>
      <c r="B136" s="79" t="s">
        <v>602</v>
      </c>
      <c r="C136" s="79">
        <v>7</v>
      </c>
      <c r="D136" s="79" t="s">
        <v>599</v>
      </c>
      <c r="E136" s="81" t="s">
        <v>607</v>
      </c>
      <c r="F136" s="79"/>
      <c r="G136" s="79"/>
      <c r="H136" s="30" t="str">
        <f>_xlfn.DISPIMG("ID_20157693FD8E4701B88D95F2C22F048A",1)</f>
        <v>=DISPIMG("ID_20157693FD8E4701B88D95F2C22F048A",1)</v>
      </c>
      <c r="I136" s="43"/>
      <c r="J136" s="38"/>
      <c r="K136" s="38"/>
      <c r="L136" s="38"/>
    </row>
    <row r="137" s="21" customFormat="1" ht="80.1" customHeight="1" spans="1:12">
      <c r="A137" s="78">
        <v>135</v>
      </c>
      <c r="B137" s="79" t="s">
        <v>603</v>
      </c>
      <c r="C137" s="79">
        <v>7</v>
      </c>
      <c r="D137" s="79" t="s">
        <v>599</v>
      </c>
      <c r="E137" s="81" t="s">
        <v>607</v>
      </c>
      <c r="F137" s="79"/>
      <c r="G137" s="79"/>
      <c r="H137" s="30" t="str">
        <f>_xlfn.DISPIMG("ID_C913089742B04A06A5557183A10B03B4",1)</f>
        <v>=DISPIMG("ID_C913089742B04A06A5557183A10B03B4",1)</v>
      </c>
      <c r="I137" s="43"/>
      <c r="J137" s="38"/>
      <c r="K137" s="38"/>
      <c r="L137" s="38"/>
    </row>
    <row r="138" s="21" customFormat="1" ht="80.1" customHeight="1" spans="1:12">
      <c r="A138" s="78">
        <v>136</v>
      </c>
      <c r="B138" s="82" t="s">
        <v>598</v>
      </c>
      <c r="C138" s="82">
        <v>21</v>
      </c>
      <c r="D138" s="82" t="s">
        <v>599</v>
      </c>
      <c r="E138" s="89" t="s">
        <v>608</v>
      </c>
      <c r="F138" s="79"/>
      <c r="G138" s="82"/>
      <c r="H138" s="88" t="str">
        <f>_xlfn.DISPIMG("ID_08769CCCB346443AB0845F274ACC9790",1)</f>
        <v>=DISPIMG("ID_08769CCCB346443AB0845F274ACC9790",1)</v>
      </c>
      <c r="I138" s="43"/>
      <c r="J138" s="38"/>
      <c r="K138" s="38"/>
      <c r="L138" s="38"/>
    </row>
    <row r="139" s="21" customFormat="1" ht="80.1" customHeight="1" spans="1:12">
      <c r="A139" s="78">
        <v>137</v>
      </c>
      <c r="B139" s="82" t="s">
        <v>601</v>
      </c>
      <c r="C139" s="82">
        <v>1</v>
      </c>
      <c r="D139" s="82" t="s">
        <v>599</v>
      </c>
      <c r="E139" s="89" t="s">
        <v>609</v>
      </c>
      <c r="F139" s="79"/>
      <c r="G139" s="82"/>
      <c r="H139" s="88" t="str">
        <f>_xlfn.DISPIMG("ID_FE8904B25B0C47828E5091A341450154",1)</f>
        <v>=DISPIMG("ID_FE8904B25B0C47828E5091A341450154",1)</v>
      </c>
      <c r="I139" s="43"/>
      <c r="J139" s="38"/>
      <c r="K139" s="38"/>
      <c r="L139" s="38"/>
    </row>
    <row r="140" s="21" customFormat="1" ht="80.1" customHeight="1" spans="1:12">
      <c r="A140" s="78">
        <v>138</v>
      </c>
      <c r="B140" s="82" t="s">
        <v>602</v>
      </c>
      <c r="C140" s="82">
        <v>21</v>
      </c>
      <c r="D140" s="82" t="s">
        <v>599</v>
      </c>
      <c r="E140" s="89" t="s">
        <v>610</v>
      </c>
      <c r="F140" s="79"/>
      <c r="G140" s="82"/>
      <c r="H140" s="88" t="str">
        <f>_xlfn.DISPIMG("ID_03BE1ED7B63844A5B99CDA4F6D921FF4",1)</f>
        <v>=DISPIMG("ID_03BE1ED7B63844A5B99CDA4F6D921FF4",1)</v>
      </c>
      <c r="I140" s="43"/>
      <c r="J140" s="38"/>
      <c r="K140" s="38"/>
      <c r="L140" s="38"/>
    </row>
    <row r="141" s="21" customFormat="1" ht="80.1" customHeight="1" spans="1:12">
      <c r="A141" s="78">
        <v>139</v>
      </c>
      <c r="B141" s="82" t="s">
        <v>603</v>
      </c>
      <c r="C141" s="82">
        <v>17</v>
      </c>
      <c r="D141" s="82" t="s">
        <v>599</v>
      </c>
      <c r="E141" s="89" t="s">
        <v>611</v>
      </c>
      <c r="F141" s="79"/>
      <c r="G141" s="82"/>
      <c r="H141" s="88" t="str">
        <f>_xlfn.DISPIMG("ID_8AD03CDCB30C438CB487C53DF1581B0E",1)</f>
        <v>=DISPIMG("ID_8AD03CDCB30C438CB487C53DF1581B0E",1)</v>
      </c>
      <c r="I141" s="43"/>
      <c r="J141" s="38"/>
      <c r="K141" s="38"/>
      <c r="L141" s="38"/>
    </row>
    <row r="142" s="21" customFormat="1" ht="80.1" customHeight="1" spans="1:12">
      <c r="A142" s="78">
        <v>140</v>
      </c>
      <c r="B142" s="79" t="s">
        <v>598</v>
      </c>
      <c r="C142" s="79">
        <v>12</v>
      </c>
      <c r="D142" s="79" t="s">
        <v>599</v>
      </c>
      <c r="E142" s="81" t="s">
        <v>558</v>
      </c>
      <c r="F142" s="79"/>
      <c r="G142" s="79"/>
      <c r="H142" s="30"/>
      <c r="I142" s="43"/>
      <c r="J142" s="38"/>
      <c r="K142" s="38"/>
      <c r="L142" s="38"/>
    </row>
    <row r="143" s="21" customFormat="1" ht="80.1" customHeight="1" spans="1:12">
      <c r="A143" s="78">
        <v>141</v>
      </c>
      <c r="B143" s="79" t="s">
        <v>601</v>
      </c>
      <c r="C143" s="79">
        <v>2</v>
      </c>
      <c r="D143" s="79" t="s">
        <v>599</v>
      </c>
      <c r="E143" s="81" t="s">
        <v>530</v>
      </c>
      <c r="F143" s="79"/>
      <c r="G143" s="79"/>
      <c r="H143" s="30" t="str">
        <f>_xlfn.DISPIMG("ID_28A48A9FB8444FF5A57010604135A9D5",1)</f>
        <v>=DISPIMG("ID_28A48A9FB8444FF5A57010604135A9D5",1)</v>
      </c>
      <c r="I143" s="43"/>
      <c r="J143" s="38"/>
      <c r="K143" s="38"/>
      <c r="L143" s="38"/>
    </row>
    <row r="144" s="21" customFormat="1" ht="80.1" customHeight="1" spans="1:12">
      <c r="A144" s="78">
        <v>142</v>
      </c>
      <c r="B144" s="79" t="s">
        <v>603</v>
      </c>
      <c r="C144" s="79">
        <v>3</v>
      </c>
      <c r="D144" s="79" t="s">
        <v>599</v>
      </c>
      <c r="E144" s="81" t="s">
        <v>526</v>
      </c>
      <c r="F144" s="79"/>
      <c r="G144" s="79"/>
      <c r="H144" s="30"/>
      <c r="I144" s="44"/>
      <c r="J144" s="38"/>
      <c r="K144" s="38"/>
      <c r="L144" s="38"/>
    </row>
    <row r="145" s="21" customFormat="1" ht="80.1" customHeight="1" spans="1:12">
      <c r="A145" s="78">
        <v>143</v>
      </c>
      <c r="B145" s="79" t="s">
        <v>592</v>
      </c>
      <c r="C145" s="79">
        <v>8</v>
      </c>
      <c r="D145" s="79" t="s">
        <v>593</v>
      </c>
      <c r="E145" s="79" t="s">
        <v>594</v>
      </c>
      <c r="F145" s="79"/>
      <c r="G145" s="79"/>
      <c r="H145" s="80" t="str">
        <f>_xlfn.DISPIMG("ID_11DC4F4205E847A694B55D1CD46200A0",1)</f>
        <v>=DISPIMG("ID_11DC4F4205E847A694B55D1CD46200A0",1)</v>
      </c>
      <c r="I145" s="41" t="s">
        <v>215</v>
      </c>
      <c r="J145" s="38"/>
      <c r="K145" s="38"/>
      <c r="L145" s="38"/>
    </row>
    <row r="146" s="21" customFormat="1" ht="80.1" customHeight="1" spans="1:12">
      <c r="A146" s="78">
        <v>144</v>
      </c>
      <c r="B146" s="79" t="s">
        <v>592</v>
      </c>
      <c r="C146" s="79">
        <v>8</v>
      </c>
      <c r="D146" s="79" t="s">
        <v>593</v>
      </c>
      <c r="E146" s="79" t="s">
        <v>612</v>
      </c>
      <c r="F146" s="79"/>
      <c r="G146" s="79"/>
      <c r="H146" s="80" t="str">
        <f>_xlfn.DISPIMG("ID_C4B0FBB80E544A1399E4B759D564306D",1)</f>
        <v>=DISPIMG("ID_C4B0FBB80E544A1399E4B759D564306D",1)</v>
      </c>
      <c r="I146" s="41" t="s">
        <v>215</v>
      </c>
      <c r="J146" s="38"/>
      <c r="K146" s="38"/>
      <c r="L146" s="38"/>
    </row>
    <row r="147" s="21" customFormat="1" ht="80.1" customHeight="1" spans="1:12">
      <c r="A147" s="78">
        <v>145</v>
      </c>
      <c r="B147" s="79" t="s">
        <v>595</v>
      </c>
      <c r="C147" s="79">
        <v>1</v>
      </c>
      <c r="D147" s="79" t="s">
        <v>596</v>
      </c>
      <c r="E147" s="79" t="s">
        <v>597</v>
      </c>
      <c r="F147" s="79"/>
      <c r="G147" s="79"/>
      <c r="H147" s="80" t="str">
        <f>_xlfn.DISPIMG("ID_D48037B4DAEC4ED5A9315587FCC5BB60",1)</f>
        <v>=DISPIMG("ID_D48037B4DAEC4ED5A9315587FCC5BB60",1)</v>
      </c>
      <c r="I147" s="41" t="s">
        <v>613</v>
      </c>
      <c r="J147" s="38"/>
      <c r="K147" s="38"/>
      <c r="L147" s="38"/>
    </row>
    <row r="148" s="21" customFormat="1" ht="80.1" customHeight="1" spans="1:12">
      <c r="A148" s="78">
        <v>146</v>
      </c>
      <c r="B148" s="79" t="s">
        <v>598</v>
      </c>
      <c r="C148" s="79">
        <v>1</v>
      </c>
      <c r="D148" s="79" t="s">
        <v>614</v>
      </c>
      <c r="E148" s="81" t="s">
        <v>615</v>
      </c>
      <c r="F148" s="79"/>
      <c r="G148" s="79"/>
      <c r="H148" s="30" t="str">
        <f>_xlfn.DISPIMG("ID_AEF2DD251C014D2AB7F9E5F5B6509B8F",1)</f>
        <v>=DISPIMG("ID_AEF2DD251C014D2AB7F9E5F5B6509B8F",1)</v>
      </c>
      <c r="I148" s="41" t="s">
        <v>215</v>
      </c>
      <c r="J148" s="38"/>
      <c r="K148" s="38"/>
      <c r="L148" s="38"/>
    </row>
    <row r="149" s="74" customFormat="1" ht="54.75" customHeight="1" spans="1:13">
      <c r="A149" s="78">
        <v>147</v>
      </c>
      <c r="B149" s="92" t="s">
        <v>616</v>
      </c>
      <c r="C149" s="57">
        <v>2</v>
      </c>
      <c r="D149" s="57" t="s">
        <v>617</v>
      </c>
      <c r="E149" s="57" t="s">
        <v>618</v>
      </c>
      <c r="F149" s="57"/>
      <c r="G149" s="93"/>
      <c r="H149" s="94" t="str">
        <f>_xlfn.DISPIMG("ID_628CD61ADAFD473B861DB359789C4CC9",1)</f>
        <v>=DISPIMG("ID_628CD61ADAFD473B861DB359789C4CC9",1)</v>
      </c>
      <c r="I149" s="95" t="s">
        <v>39</v>
      </c>
      <c r="J149" s="96"/>
      <c r="K149" s="96"/>
      <c r="L149" s="97"/>
      <c r="M149" s="98"/>
    </row>
    <row r="150" s="74" customFormat="1" ht="54.75" customHeight="1" spans="1:12">
      <c r="A150" s="78">
        <v>148</v>
      </c>
      <c r="B150" s="92" t="s">
        <v>619</v>
      </c>
      <c r="C150" s="57">
        <v>1</v>
      </c>
      <c r="D150" s="57" t="s">
        <v>620</v>
      </c>
      <c r="E150" s="57" t="s">
        <v>618</v>
      </c>
      <c r="F150" s="57"/>
      <c r="G150" s="93"/>
      <c r="H150" s="94" t="str">
        <f>_xlfn.DISPIMG("ID_B7FC0C4C1CD944F1AC80A6431CDC9C15",1)</f>
        <v>=DISPIMG("ID_B7FC0C4C1CD944F1AC80A6431CDC9C15",1)</v>
      </c>
      <c r="I150" s="95" t="s">
        <v>83</v>
      </c>
      <c r="J150" s="96"/>
      <c r="K150" s="96"/>
      <c r="L150" s="97"/>
    </row>
    <row r="151" s="74" customFormat="1" ht="54.75" customHeight="1" spans="1:12">
      <c r="A151" s="78">
        <v>149</v>
      </c>
      <c r="B151" s="92" t="s">
        <v>621</v>
      </c>
      <c r="C151" s="57">
        <v>2</v>
      </c>
      <c r="D151" s="57" t="s">
        <v>622</v>
      </c>
      <c r="E151" s="57" t="s">
        <v>618</v>
      </c>
      <c r="F151" s="57"/>
      <c r="G151" s="93"/>
      <c r="H151" s="94" t="str">
        <f>_xlfn.DISPIMG("ID_021156CC33F348918D751FC5DA99AAF4",1)</f>
        <v>=DISPIMG("ID_021156CC33F348918D751FC5DA99AAF4",1)</v>
      </c>
      <c r="I151" s="95" t="s">
        <v>215</v>
      </c>
      <c r="J151" s="96"/>
      <c r="K151" s="96"/>
      <c r="L151" s="97"/>
    </row>
    <row r="152" s="74" customFormat="1" ht="54.75" customHeight="1" spans="1:12">
      <c r="A152" s="78">
        <v>150</v>
      </c>
      <c r="B152" s="92" t="s">
        <v>623</v>
      </c>
      <c r="C152" s="57">
        <v>1</v>
      </c>
      <c r="D152" s="57" t="s">
        <v>624</v>
      </c>
      <c r="E152" s="57" t="s">
        <v>618</v>
      </c>
      <c r="F152" s="57"/>
      <c r="G152" s="93"/>
      <c r="H152" s="94" t="str">
        <f>_xlfn.DISPIMG("ID_794A4E8B4B0941AB849328C665E4DD58",1)</f>
        <v>=DISPIMG("ID_794A4E8B4B0941AB849328C665E4DD58",1)</v>
      </c>
      <c r="I152" s="95" t="s">
        <v>85</v>
      </c>
      <c r="J152" s="96"/>
      <c r="K152" s="96"/>
      <c r="L152" s="97"/>
    </row>
    <row r="153" s="74" customFormat="1" ht="54.75" customHeight="1" spans="1:12">
      <c r="A153" s="78">
        <v>151</v>
      </c>
      <c r="B153" s="92" t="s">
        <v>625</v>
      </c>
      <c r="C153" s="57">
        <v>5</v>
      </c>
      <c r="D153" s="57" t="s">
        <v>626</v>
      </c>
      <c r="E153" s="57" t="s">
        <v>618</v>
      </c>
      <c r="F153" s="57"/>
      <c r="G153" s="93"/>
      <c r="H153" s="94" t="str">
        <f>_xlfn.DISPIMG("ID_0FE238EB0DB54C099BA4321F8F686CC7",1)</f>
        <v>=DISPIMG("ID_0FE238EB0DB54C099BA4321F8F686CC7",1)</v>
      </c>
      <c r="I153" s="95" t="s">
        <v>627</v>
      </c>
      <c r="J153" s="96"/>
      <c r="K153" s="96"/>
      <c r="L153" s="97"/>
    </row>
    <row r="154" s="74" customFormat="1" ht="54.75" customHeight="1" spans="1:12">
      <c r="A154" s="78">
        <v>152</v>
      </c>
      <c r="B154" s="92" t="s">
        <v>628</v>
      </c>
      <c r="C154" s="57">
        <v>1</v>
      </c>
      <c r="D154" s="57" t="s">
        <v>629</v>
      </c>
      <c r="E154" s="57" t="s">
        <v>618</v>
      </c>
      <c r="F154" s="57"/>
      <c r="G154" s="93"/>
      <c r="H154" s="94" t="str">
        <f>_xlfn.DISPIMG("ID_82A1408A57FE4808BCCD2651B2487766",1)</f>
        <v>=DISPIMG("ID_82A1408A57FE4808BCCD2651B2487766",1)</v>
      </c>
      <c r="I154" s="95" t="s">
        <v>85</v>
      </c>
      <c r="J154" s="96"/>
      <c r="K154" s="96"/>
      <c r="L154" s="97"/>
    </row>
    <row r="155" s="74" customFormat="1" ht="54.75" customHeight="1" spans="1:12">
      <c r="A155" s="78">
        <v>153</v>
      </c>
      <c r="B155" s="92" t="s">
        <v>630</v>
      </c>
      <c r="C155" s="57">
        <v>1</v>
      </c>
      <c r="D155" s="57" t="s">
        <v>631</v>
      </c>
      <c r="E155" s="57" t="s">
        <v>618</v>
      </c>
      <c r="F155" s="57"/>
      <c r="G155" s="93"/>
      <c r="H155" s="94" t="str">
        <f>_xlfn.DISPIMG("ID_6A77D13620EE4CC2AB815CD54818C893",1)</f>
        <v>=DISPIMG("ID_6A77D13620EE4CC2AB815CD54818C893",1)</v>
      </c>
      <c r="I155" s="95" t="s">
        <v>632</v>
      </c>
      <c r="J155" s="96"/>
      <c r="K155" s="96"/>
      <c r="L155" s="97"/>
    </row>
    <row r="156" s="74" customFormat="1" ht="54.75" customHeight="1" spans="1:12">
      <c r="A156" s="78">
        <v>154</v>
      </c>
      <c r="B156" s="92" t="s">
        <v>633</v>
      </c>
      <c r="C156" s="57">
        <v>1</v>
      </c>
      <c r="D156" s="57" t="s">
        <v>634</v>
      </c>
      <c r="E156" s="57" t="s">
        <v>618</v>
      </c>
      <c r="F156" s="57"/>
      <c r="G156" s="93"/>
      <c r="H156" s="94" t="str">
        <f>_xlfn.DISPIMG("ID_2A10C356CB6147DC8633CFDBD64DF0B4",1)</f>
        <v>=DISPIMG("ID_2A10C356CB6147DC8633CFDBD64DF0B4",1)</v>
      </c>
      <c r="I156" s="95" t="s">
        <v>83</v>
      </c>
      <c r="J156" s="96"/>
      <c r="K156" s="96"/>
      <c r="L156" s="97"/>
    </row>
    <row r="157" s="74" customFormat="1" ht="54.75" customHeight="1" spans="1:12">
      <c r="A157" s="78">
        <v>155</v>
      </c>
      <c r="B157" s="92" t="s">
        <v>635</v>
      </c>
      <c r="C157" s="57">
        <v>2</v>
      </c>
      <c r="D157" s="57" t="s">
        <v>636</v>
      </c>
      <c r="E157" s="57" t="s">
        <v>618</v>
      </c>
      <c r="F157" s="57"/>
      <c r="G157" s="93"/>
      <c r="H157" s="94" t="str">
        <f>_xlfn.DISPIMG("ID_48A7BCE9ABF144C1B1C41EA9CC9B2A5A",1)</f>
        <v>=DISPIMG("ID_48A7BCE9ABF144C1B1C41EA9CC9B2A5A",1)</v>
      </c>
      <c r="I157" s="95" t="s">
        <v>69</v>
      </c>
      <c r="J157" s="96"/>
      <c r="K157" s="96"/>
      <c r="L157" s="97"/>
    </row>
    <row r="158" s="21" customFormat="1" spans="1:12">
      <c r="A158" s="77" t="s">
        <v>86</v>
      </c>
      <c r="B158" s="35"/>
      <c r="C158" s="36"/>
      <c r="D158" s="36"/>
      <c r="E158" s="36"/>
      <c r="F158" s="36"/>
      <c r="G158" s="36"/>
      <c r="H158" s="36"/>
      <c r="I158" s="45"/>
      <c r="J158" s="38"/>
      <c r="K158" s="38"/>
      <c r="L158" s="38"/>
    </row>
    <row r="159" s="21" customFormat="1" spans="1:12">
      <c r="A159" s="61"/>
      <c r="B159" s="22"/>
      <c r="C159" s="22"/>
      <c r="D159" s="22"/>
      <c r="E159" s="22"/>
      <c r="F159" s="22"/>
      <c r="G159" s="22"/>
      <c r="I159" s="75"/>
      <c r="J159" s="38"/>
      <c r="K159" s="38"/>
      <c r="L159" s="38"/>
    </row>
    <row r="160" s="21" customFormat="1" spans="1:12">
      <c r="A160" s="61"/>
      <c r="C160" s="22"/>
      <c r="D160" s="22"/>
      <c r="E160" s="22"/>
      <c r="F160" s="22"/>
      <c r="G160" s="22"/>
      <c r="I160" s="75"/>
      <c r="J160" s="38"/>
      <c r="K160" s="38"/>
      <c r="L160" s="38"/>
    </row>
    <row r="161" s="21" customFormat="1" spans="1:12">
      <c r="A161" s="61"/>
      <c r="B161" s="22"/>
      <c r="C161" s="22"/>
      <c r="D161" s="22"/>
      <c r="E161" s="22"/>
      <c r="F161" s="22"/>
      <c r="G161" s="22"/>
      <c r="I161" s="75"/>
      <c r="J161" s="38"/>
      <c r="K161" s="38"/>
      <c r="L161" s="38"/>
    </row>
    <row r="162" s="21" customFormat="1" spans="1:12">
      <c r="A162" s="61"/>
      <c r="B162" s="22"/>
      <c r="C162" s="22"/>
      <c r="D162" s="22"/>
      <c r="E162" s="22"/>
      <c r="F162" s="22"/>
      <c r="G162" s="22"/>
      <c r="I162" s="75"/>
      <c r="J162" s="38"/>
      <c r="K162" s="38"/>
      <c r="L162" s="38"/>
    </row>
    <row r="163" s="21" customFormat="1" spans="1:12">
      <c r="A163" s="61"/>
      <c r="B163" s="22"/>
      <c r="C163" s="22"/>
      <c r="D163" s="22"/>
      <c r="E163" s="22"/>
      <c r="F163" s="22"/>
      <c r="G163" s="22"/>
      <c r="I163" s="75"/>
      <c r="J163" s="38"/>
      <c r="K163" s="38"/>
      <c r="L163" s="38"/>
    </row>
    <row r="164" s="21" customFormat="1" spans="1:12">
      <c r="A164" s="61"/>
      <c r="B164" s="22"/>
      <c r="C164" s="22"/>
      <c r="D164" s="22"/>
      <c r="E164" s="22"/>
      <c r="F164" s="22"/>
      <c r="G164" s="22"/>
      <c r="I164" s="75"/>
      <c r="J164" s="38"/>
      <c r="K164" s="38"/>
      <c r="L164" s="38"/>
    </row>
    <row r="165" s="21" customFormat="1" spans="1:12">
      <c r="A165" s="61"/>
      <c r="B165" s="22"/>
      <c r="C165" s="22"/>
      <c r="D165" s="22"/>
      <c r="E165" s="22"/>
      <c r="F165" s="22"/>
      <c r="G165" s="22"/>
      <c r="I165" s="75"/>
      <c r="J165" s="38"/>
      <c r="K165" s="38"/>
      <c r="L165" s="38"/>
    </row>
    <row r="166" s="21" customFormat="1" spans="1:12">
      <c r="A166" s="61"/>
      <c r="B166" s="22"/>
      <c r="C166" s="22"/>
      <c r="D166" s="22"/>
      <c r="E166" s="22"/>
      <c r="F166" s="22"/>
      <c r="G166" s="22"/>
      <c r="I166" s="75"/>
      <c r="J166" s="38"/>
      <c r="K166" s="38"/>
      <c r="L166" s="38"/>
    </row>
    <row r="167" s="21" customFormat="1" spans="1:12">
      <c r="A167" s="61"/>
      <c r="B167" s="22"/>
      <c r="C167" s="22"/>
      <c r="D167" s="22"/>
      <c r="E167" s="22"/>
      <c r="F167" s="22"/>
      <c r="G167" s="22"/>
      <c r="I167" s="75"/>
      <c r="J167" s="38"/>
      <c r="K167" s="38"/>
      <c r="L167" s="38"/>
    </row>
  </sheetData>
  <mergeCells count="12">
    <mergeCell ref="A1:I1"/>
    <mergeCell ref="B158:I158"/>
    <mergeCell ref="I6:I9"/>
    <mergeCell ref="I10:I11"/>
    <mergeCell ref="I14:I63"/>
    <mergeCell ref="I64:I95"/>
    <mergeCell ref="I96:I102"/>
    <mergeCell ref="I103:I108"/>
    <mergeCell ref="I109:I113"/>
    <mergeCell ref="I114:I118"/>
    <mergeCell ref="I120:I125"/>
    <mergeCell ref="I128:I144"/>
  </mergeCells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76"/>
  <sheetViews>
    <sheetView zoomScale="70" zoomScaleNormal="70" topLeftCell="A141" workbookViewId="0">
      <selection activeCell="A1" sqref="A1:I1"/>
    </sheetView>
  </sheetViews>
  <sheetFormatPr defaultColWidth="9" defaultRowHeight="17.6"/>
  <cols>
    <col min="1" max="1" width="11.1327433628319" style="21" customWidth="1"/>
    <col min="2" max="2" width="27.3805309734513" style="23" customWidth="1"/>
    <col min="3" max="3" width="12.8761061946903" style="21" customWidth="1"/>
    <col min="4" max="4" width="20.8761061946903" style="23" customWidth="1"/>
    <col min="5" max="5" width="20.8761061946903" style="21" customWidth="1"/>
    <col min="6" max="6" width="19.6283185840708" style="22" customWidth="1"/>
    <col min="7" max="7" width="24.7522123893805" style="22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24" t="s">
        <v>637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40" t="s">
        <v>25</v>
      </c>
      <c r="C2" s="26" t="s">
        <v>3</v>
      </c>
      <c r="D2" s="40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25" customHeight="1" spans="1:9">
      <c r="A3" s="27">
        <v>1</v>
      </c>
      <c r="B3" s="27" t="s">
        <v>160</v>
      </c>
      <c r="C3" s="27">
        <v>1</v>
      </c>
      <c r="D3" s="27" t="s">
        <v>638</v>
      </c>
      <c r="E3" s="27" t="s">
        <v>639</v>
      </c>
      <c r="F3" s="27"/>
      <c r="G3" s="27"/>
      <c r="H3" s="30" t="str">
        <f>_xlfn.DISPIMG("ID_E8A3A5CB71AE480CB114C49B531CADDD",1)</f>
        <v>=DISPIMG("ID_E8A3A5CB71AE480CB114C49B531CADDD",1)</v>
      </c>
      <c r="I3" s="42" t="s">
        <v>189</v>
      </c>
    </row>
    <row r="4" s="21" customFormat="1" ht="25" customHeight="1" spans="1:9">
      <c r="A4" s="27">
        <v>2</v>
      </c>
      <c r="B4" s="27" t="s">
        <v>160</v>
      </c>
      <c r="C4" s="27">
        <v>1</v>
      </c>
      <c r="D4" s="27" t="s">
        <v>640</v>
      </c>
      <c r="E4" s="27" t="s">
        <v>641</v>
      </c>
      <c r="F4" s="27"/>
      <c r="G4" s="27"/>
      <c r="H4" s="27" t="str">
        <f>_xlfn.DISPIMG("ID_47A1CB789853492B8CA988085330529B",1)</f>
        <v>=DISPIMG("ID_47A1CB789853492B8CA988085330529B",1)</v>
      </c>
      <c r="I4" s="43"/>
    </row>
    <row r="5" s="21" customFormat="1" ht="25" customHeight="1" spans="1:9">
      <c r="A5" s="27">
        <v>3</v>
      </c>
      <c r="B5" s="27" t="s">
        <v>160</v>
      </c>
      <c r="C5" s="27">
        <v>1</v>
      </c>
      <c r="D5" s="27" t="s">
        <v>642</v>
      </c>
      <c r="E5" s="27" t="s">
        <v>643</v>
      </c>
      <c r="F5" s="27"/>
      <c r="G5" s="27"/>
      <c r="H5" s="27" t="str">
        <f>_xlfn.DISPIMG("ID_C08CF5BA91434B22AAC9C02F39EE2919",1)</f>
        <v>=DISPIMG("ID_C08CF5BA91434B22AAC9C02F39EE2919",1)</v>
      </c>
      <c r="I5" s="43"/>
    </row>
    <row r="6" s="21" customFormat="1" ht="25" customHeight="1" spans="1:9">
      <c r="A6" s="27">
        <v>4</v>
      </c>
      <c r="B6" s="27" t="s">
        <v>644</v>
      </c>
      <c r="C6" s="27">
        <v>1</v>
      </c>
      <c r="D6" s="27" t="s">
        <v>645</v>
      </c>
      <c r="E6" s="27" t="s">
        <v>646</v>
      </c>
      <c r="F6" s="27"/>
      <c r="G6" s="27"/>
      <c r="H6" s="30" t="str">
        <f>_xlfn.DISPIMG("ID_394E2688CD204D59B997BF260A1A419F",1)</f>
        <v>=DISPIMG("ID_394E2688CD204D59B997BF260A1A419F",1)</v>
      </c>
      <c r="I6" s="43"/>
    </row>
    <row r="7" s="21" customFormat="1" ht="95" customHeight="1" spans="1:9">
      <c r="A7" s="27">
        <v>5</v>
      </c>
      <c r="B7" s="63" t="s">
        <v>647</v>
      </c>
      <c r="C7" s="27">
        <v>1</v>
      </c>
      <c r="D7" s="63" t="s">
        <v>648</v>
      </c>
      <c r="E7" s="27" t="s">
        <v>649</v>
      </c>
      <c r="F7" s="27"/>
      <c r="G7" s="27"/>
      <c r="H7" s="27" t="str">
        <f>_xlfn.DISPIMG("ID_94EDE608457E400D8211747ABC937217",1)</f>
        <v>=DISPIMG("ID_94EDE608457E400D8211747ABC937217",1)</v>
      </c>
      <c r="I7" s="43"/>
    </row>
    <row r="8" s="21" customFormat="1" ht="95" customHeight="1" spans="1:9">
      <c r="A8" s="27">
        <v>6</v>
      </c>
      <c r="B8" s="63" t="s">
        <v>650</v>
      </c>
      <c r="C8" s="27">
        <v>1</v>
      </c>
      <c r="D8" s="63" t="s">
        <v>648</v>
      </c>
      <c r="E8" s="27" t="s">
        <v>649</v>
      </c>
      <c r="F8" s="27"/>
      <c r="G8" s="27"/>
      <c r="H8" s="27" t="str">
        <f>_xlfn.DISPIMG("ID_5C711E9F999946C8A0274334A1C9ECF9",1)</f>
        <v>=DISPIMG("ID_5C711E9F999946C8A0274334A1C9ECF9",1)</v>
      </c>
      <c r="I8" s="43"/>
    </row>
    <row r="9" s="21" customFormat="1" ht="95" customHeight="1" spans="1:9">
      <c r="A9" s="27">
        <v>7</v>
      </c>
      <c r="B9" s="63" t="s">
        <v>651</v>
      </c>
      <c r="C9" s="27">
        <v>1</v>
      </c>
      <c r="D9" s="63" t="s">
        <v>648</v>
      </c>
      <c r="E9" s="27" t="s">
        <v>649</v>
      </c>
      <c r="F9" s="27"/>
      <c r="G9" s="27"/>
      <c r="H9" s="27" t="str">
        <f>_xlfn.DISPIMG("ID_785C9168B13942B1895910774139A43D",1)</f>
        <v>=DISPIMG("ID_785C9168B13942B1895910774139A43D",1)</v>
      </c>
      <c r="I9" s="43"/>
    </row>
    <row r="10" s="21" customFormat="1" ht="95" customHeight="1" spans="1:9">
      <c r="A10" s="27">
        <v>8</v>
      </c>
      <c r="B10" s="63" t="s">
        <v>652</v>
      </c>
      <c r="C10" s="27">
        <v>1</v>
      </c>
      <c r="D10" s="63" t="s">
        <v>648</v>
      </c>
      <c r="E10" s="27" t="s">
        <v>649</v>
      </c>
      <c r="F10" s="27"/>
      <c r="G10" s="27"/>
      <c r="H10" s="27" t="str">
        <f>_xlfn.DISPIMG("ID_BD93E40B771147CFACF2435912F6404F",1)</f>
        <v>=DISPIMG("ID_BD93E40B771147CFACF2435912F6404F",1)</v>
      </c>
      <c r="I10" s="43"/>
    </row>
    <row r="11" s="21" customFormat="1" ht="95" customHeight="1" spans="1:9">
      <c r="A11" s="27">
        <v>9</v>
      </c>
      <c r="B11" s="63" t="s">
        <v>653</v>
      </c>
      <c r="C11" s="27">
        <v>1</v>
      </c>
      <c r="D11" s="63" t="s">
        <v>648</v>
      </c>
      <c r="E11" s="27" t="s">
        <v>649</v>
      </c>
      <c r="F11" s="27"/>
      <c r="G11" s="27"/>
      <c r="H11" s="27" t="str">
        <f>_xlfn.DISPIMG("ID_D4BE6B4AB00F497CA29418F6380C8351",1)</f>
        <v>=DISPIMG("ID_D4BE6B4AB00F497CA29418F6380C8351",1)</v>
      </c>
      <c r="I11" s="43"/>
    </row>
    <row r="12" s="21" customFormat="1" ht="95" customHeight="1" spans="1:9">
      <c r="A12" s="27">
        <v>10</v>
      </c>
      <c r="B12" s="63" t="s">
        <v>654</v>
      </c>
      <c r="C12" s="27">
        <v>1</v>
      </c>
      <c r="D12" s="63" t="s">
        <v>648</v>
      </c>
      <c r="E12" s="27" t="s">
        <v>649</v>
      </c>
      <c r="F12" s="27"/>
      <c r="G12" s="27"/>
      <c r="H12" s="27" t="str">
        <f>_xlfn.DISPIMG("ID_33B701B4878F47AFA563CAD6AD096251",1)</f>
        <v>=DISPIMG("ID_33B701B4878F47AFA563CAD6AD096251",1)</v>
      </c>
      <c r="I12" s="43"/>
    </row>
    <row r="13" s="21" customFormat="1" ht="95" customHeight="1" spans="1:9">
      <c r="A13" s="27">
        <v>11</v>
      </c>
      <c r="B13" s="63" t="s">
        <v>655</v>
      </c>
      <c r="C13" s="27">
        <v>1</v>
      </c>
      <c r="D13" s="63" t="s">
        <v>648</v>
      </c>
      <c r="E13" s="27" t="s">
        <v>649</v>
      </c>
      <c r="F13" s="27"/>
      <c r="G13" s="27"/>
      <c r="H13" s="27" t="str">
        <f>_xlfn.DISPIMG("ID_0B69271E6F3748C49C59D3BBD59F84E7",1)</f>
        <v>=DISPIMG("ID_0B69271E6F3748C49C59D3BBD59F84E7",1)</v>
      </c>
      <c r="I13" s="43"/>
    </row>
    <row r="14" s="21" customFormat="1" ht="95" customHeight="1" spans="1:9">
      <c r="A14" s="27">
        <v>12</v>
      </c>
      <c r="B14" s="63" t="s">
        <v>656</v>
      </c>
      <c r="C14" s="27">
        <v>1</v>
      </c>
      <c r="D14" s="63" t="s">
        <v>648</v>
      </c>
      <c r="E14" s="27" t="s">
        <v>649</v>
      </c>
      <c r="F14" s="27"/>
      <c r="G14" s="27"/>
      <c r="H14" s="27" t="str">
        <f>_xlfn.DISPIMG("ID_BF9417A8F51B49F49969F57D3F5EAF84",1)</f>
        <v>=DISPIMG("ID_BF9417A8F51B49F49969F57D3F5EAF84",1)</v>
      </c>
      <c r="I14" s="43"/>
    </row>
    <row r="15" s="21" customFormat="1" ht="95" customHeight="1" spans="1:9">
      <c r="A15" s="27">
        <v>13</v>
      </c>
      <c r="B15" s="63" t="s">
        <v>657</v>
      </c>
      <c r="C15" s="27">
        <v>1</v>
      </c>
      <c r="D15" s="63" t="s">
        <v>648</v>
      </c>
      <c r="E15" s="27" t="s">
        <v>649</v>
      </c>
      <c r="F15" s="27"/>
      <c r="G15" s="27"/>
      <c r="H15" s="27" t="str">
        <f>_xlfn.DISPIMG("ID_12C4A1F657FE4BF9ACFFB5CACF20E2CB",1)</f>
        <v>=DISPIMG("ID_12C4A1F657FE4BF9ACFFB5CACF20E2CB",1)</v>
      </c>
      <c r="I15" s="43"/>
    </row>
    <row r="16" s="21" customFormat="1" ht="95" customHeight="1" spans="1:9">
      <c r="A16" s="27">
        <v>14</v>
      </c>
      <c r="B16" s="63" t="s">
        <v>658</v>
      </c>
      <c r="C16" s="27">
        <v>1</v>
      </c>
      <c r="D16" s="63" t="s">
        <v>648</v>
      </c>
      <c r="E16" s="27" t="s">
        <v>649</v>
      </c>
      <c r="F16" s="27"/>
      <c r="G16" s="27"/>
      <c r="H16" s="27" t="str">
        <f>_xlfn.DISPIMG("ID_1D39AC724D5A4774917249A609772881",1)</f>
        <v>=DISPIMG("ID_1D39AC724D5A4774917249A609772881",1)</v>
      </c>
      <c r="I16" s="43"/>
    </row>
    <row r="17" s="21" customFormat="1" ht="95" customHeight="1" spans="1:9">
      <c r="A17" s="27">
        <v>15</v>
      </c>
      <c r="B17" s="63" t="s">
        <v>659</v>
      </c>
      <c r="C17" s="27">
        <v>1</v>
      </c>
      <c r="D17" s="63" t="s">
        <v>648</v>
      </c>
      <c r="E17" s="27" t="s">
        <v>649</v>
      </c>
      <c r="F17" s="27"/>
      <c r="G17" s="27"/>
      <c r="H17" s="27" t="str">
        <f>_xlfn.DISPIMG("ID_2DB84D62818B42AA9F68DFF60D83BAE7",1)</f>
        <v>=DISPIMG("ID_2DB84D62818B42AA9F68DFF60D83BAE7",1)</v>
      </c>
      <c r="I17" s="43"/>
    </row>
    <row r="18" s="21" customFormat="1" ht="95" customHeight="1" spans="1:9">
      <c r="A18" s="27">
        <v>16</v>
      </c>
      <c r="B18" s="63" t="s">
        <v>660</v>
      </c>
      <c r="C18" s="27">
        <v>1</v>
      </c>
      <c r="D18" s="63" t="s">
        <v>648</v>
      </c>
      <c r="E18" s="27" t="s">
        <v>649</v>
      </c>
      <c r="F18" s="27"/>
      <c r="G18" s="27"/>
      <c r="H18" s="27" t="str">
        <f>_xlfn.DISPIMG("ID_E67233712A6146EBBC400694F7DBC8DA",1)</f>
        <v>=DISPIMG("ID_E67233712A6146EBBC400694F7DBC8DA",1)</v>
      </c>
      <c r="I18" s="43"/>
    </row>
    <row r="19" s="21" customFormat="1" ht="95" customHeight="1" spans="1:9">
      <c r="A19" s="27">
        <v>17</v>
      </c>
      <c r="B19" s="63" t="s">
        <v>661</v>
      </c>
      <c r="C19" s="27">
        <v>1</v>
      </c>
      <c r="D19" s="63" t="s">
        <v>648</v>
      </c>
      <c r="E19" s="27" t="s">
        <v>649</v>
      </c>
      <c r="F19" s="27"/>
      <c r="G19" s="27"/>
      <c r="H19" s="27" t="str">
        <f>_xlfn.DISPIMG("ID_8D5FC936E7C34A54B970CAA26DF3AC22",1)</f>
        <v>=DISPIMG("ID_8D5FC936E7C34A54B970CAA26DF3AC22",1)</v>
      </c>
      <c r="I19" s="43"/>
    </row>
    <row r="20" s="21" customFormat="1" ht="95" customHeight="1" spans="1:9">
      <c r="A20" s="27">
        <v>18</v>
      </c>
      <c r="B20" s="63" t="s">
        <v>662</v>
      </c>
      <c r="C20" s="27">
        <v>2</v>
      </c>
      <c r="D20" s="63" t="s">
        <v>663</v>
      </c>
      <c r="E20" s="27" t="s">
        <v>649</v>
      </c>
      <c r="F20" s="27"/>
      <c r="G20" s="27"/>
      <c r="H20" s="27" t="str">
        <f>_xlfn.DISPIMG("ID_90BF99AF30FE430F9A9854AD56B1371A",1)</f>
        <v>=DISPIMG("ID_90BF99AF30FE430F9A9854AD56B1371A",1)</v>
      </c>
      <c r="I20" s="43"/>
    </row>
    <row r="21" s="21" customFormat="1" ht="25" customHeight="1" spans="1:9">
      <c r="A21" s="27">
        <v>19</v>
      </c>
      <c r="B21" s="27" t="s">
        <v>664</v>
      </c>
      <c r="C21" s="27">
        <v>1</v>
      </c>
      <c r="D21" s="27" t="s">
        <v>665</v>
      </c>
      <c r="E21" s="27" t="s">
        <v>666</v>
      </c>
      <c r="F21" s="27"/>
      <c r="G21" s="27"/>
      <c r="H21" s="27" t="str">
        <f>_xlfn.DISPIMG("ID_B8267D1383C540C695DACE5EDFF807F1",1)</f>
        <v>=DISPIMG("ID_B8267D1383C540C695DACE5EDFF807F1",1)</v>
      </c>
      <c r="I21" s="43"/>
    </row>
    <row r="22" s="21" customFormat="1" ht="25" customHeight="1" spans="1:9">
      <c r="A22" s="27">
        <v>20</v>
      </c>
      <c r="B22" s="27" t="s">
        <v>659</v>
      </c>
      <c r="C22" s="27">
        <v>1</v>
      </c>
      <c r="D22" s="27" t="s">
        <v>665</v>
      </c>
      <c r="E22" s="27" t="s">
        <v>666</v>
      </c>
      <c r="F22" s="27"/>
      <c r="G22" s="27"/>
      <c r="H22" s="27" t="str">
        <f>_xlfn.DISPIMG("ID_5353BAE4E75B479F8C86F0C7B026CC96",1)</f>
        <v>=DISPIMG("ID_5353BAE4E75B479F8C86F0C7B026CC96",1)</v>
      </c>
      <c r="I22" s="43"/>
    </row>
    <row r="23" s="21" customFormat="1" ht="25" customHeight="1" spans="1:9">
      <c r="A23" s="27">
        <v>21</v>
      </c>
      <c r="B23" s="27" t="s">
        <v>160</v>
      </c>
      <c r="C23" s="27">
        <v>5</v>
      </c>
      <c r="D23" s="27" t="s">
        <v>667</v>
      </c>
      <c r="E23" s="27" t="s">
        <v>668</v>
      </c>
      <c r="F23" s="27"/>
      <c r="G23" s="27"/>
      <c r="H23" s="27" t="str">
        <f>_xlfn.DISPIMG("ID_4229410BF92D49A39F30311E3E0CD9A7",1)</f>
        <v>=DISPIMG("ID_4229410BF92D49A39F30311E3E0CD9A7",1)</v>
      </c>
      <c r="I23" s="43"/>
    </row>
    <row r="24" s="21" customFormat="1" ht="25" customHeight="1" spans="1:9">
      <c r="A24" s="27">
        <v>22</v>
      </c>
      <c r="B24" s="27" t="s">
        <v>669</v>
      </c>
      <c r="C24" s="27">
        <v>1</v>
      </c>
      <c r="D24" s="27" t="s">
        <v>665</v>
      </c>
      <c r="E24" s="27" t="s">
        <v>668</v>
      </c>
      <c r="F24" s="27"/>
      <c r="G24" s="27"/>
      <c r="H24" s="27" t="str">
        <f>_xlfn.DISPIMG("ID_78BCF0C506754F929895E6F94B84A367",1)</f>
        <v>=DISPIMG("ID_78BCF0C506754F929895E6F94B84A367",1)</v>
      </c>
      <c r="I24" s="43"/>
    </row>
    <row r="25" s="21" customFormat="1" ht="25" customHeight="1" spans="1:9">
      <c r="A25" s="27">
        <v>23</v>
      </c>
      <c r="B25" s="27" t="s">
        <v>670</v>
      </c>
      <c r="C25" s="27">
        <v>1</v>
      </c>
      <c r="D25" s="27" t="s">
        <v>665</v>
      </c>
      <c r="E25" s="27" t="s">
        <v>668</v>
      </c>
      <c r="F25" s="27"/>
      <c r="G25" s="27"/>
      <c r="H25" s="27" t="str">
        <f>_xlfn.DISPIMG("ID_89A57834FEA64039A90EC3F5B8C08EA7",1)</f>
        <v>=DISPIMG("ID_89A57834FEA64039A90EC3F5B8C08EA7",1)</v>
      </c>
      <c r="I25" s="43"/>
    </row>
    <row r="26" s="21" customFormat="1" ht="25" customHeight="1" spans="1:9">
      <c r="A26" s="27">
        <v>24</v>
      </c>
      <c r="B26" s="27" t="s">
        <v>671</v>
      </c>
      <c r="C26" s="27">
        <v>3</v>
      </c>
      <c r="D26" s="27" t="s">
        <v>665</v>
      </c>
      <c r="E26" s="27" t="s">
        <v>57</v>
      </c>
      <c r="F26" s="27"/>
      <c r="G26" s="27"/>
      <c r="H26" s="27" t="str">
        <f>_xlfn.DISPIMG("ID_C41390235D1140FFAFC65A404A7E061F",1)</f>
        <v>=DISPIMG("ID_C41390235D1140FFAFC65A404A7E061F",1)</v>
      </c>
      <c r="I26" s="43"/>
    </row>
    <row r="27" s="21" customFormat="1" ht="25" customHeight="1" spans="1:9">
      <c r="A27" s="27">
        <v>25</v>
      </c>
      <c r="B27" s="27" t="s">
        <v>659</v>
      </c>
      <c r="C27" s="27">
        <v>2</v>
      </c>
      <c r="D27" s="27" t="s">
        <v>665</v>
      </c>
      <c r="E27" s="27" t="s">
        <v>57</v>
      </c>
      <c r="F27" s="27"/>
      <c r="G27" s="27"/>
      <c r="H27" s="27" t="str">
        <f>_xlfn.DISPIMG("ID_4C6C28846BD14C698DC3B1DC3C93FD4A",1)</f>
        <v>=DISPIMG("ID_4C6C28846BD14C698DC3B1DC3C93FD4A",1)</v>
      </c>
      <c r="I27" s="43"/>
    </row>
    <row r="28" s="21" customFormat="1" ht="25" customHeight="1" spans="1:9">
      <c r="A28" s="27">
        <v>26</v>
      </c>
      <c r="B28" s="27" t="s">
        <v>672</v>
      </c>
      <c r="C28" s="27">
        <v>1</v>
      </c>
      <c r="D28" s="27" t="s">
        <v>665</v>
      </c>
      <c r="E28" s="27" t="s">
        <v>641</v>
      </c>
      <c r="F28" s="27"/>
      <c r="G28" s="27"/>
      <c r="H28" s="27" t="str">
        <f>_xlfn.DISPIMG("ID_3FEE819FC7B44B65A0320920FDD796BA",1)</f>
        <v>=DISPIMG("ID_3FEE819FC7B44B65A0320920FDD796BA",1)</v>
      </c>
      <c r="I28" s="43"/>
    </row>
    <row r="29" s="21" customFormat="1" ht="25" customHeight="1" spans="1:9">
      <c r="A29" s="27">
        <v>27</v>
      </c>
      <c r="B29" s="27" t="s">
        <v>673</v>
      </c>
      <c r="C29" s="27">
        <v>1</v>
      </c>
      <c r="D29" s="27" t="s">
        <v>665</v>
      </c>
      <c r="E29" s="27" t="s">
        <v>641</v>
      </c>
      <c r="F29" s="27"/>
      <c r="G29" s="27"/>
      <c r="H29" s="27" t="str">
        <f>_xlfn.DISPIMG("ID_D5E695C44BAA4BEDA49B045F160F6704",1)</f>
        <v>=DISPIMG("ID_D5E695C44BAA4BEDA49B045F160F6704",1)</v>
      </c>
      <c r="I29" s="43"/>
    </row>
    <row r="30" s="21" customFormat="1" ht="25" customHeight="1" spans="1:9">
      <c r="A30" s="27">
        <v>28</v>
      </c>
      <c r="B30" s="27" t="s">
        <v>674</v>
      </c>
      <c r="C30" s="27">
        <v>1</v>
      </c>
      <c r="D30" s="27" t="s">
        <v>665</v>
      </c>
      <c r="E30" s="27" t="s">
        <v>641</v>
      </c>
      <c r="F30" s="27"/>
      <c r="G30" s="27"/>
      <c r="H30" s="27" t="str">
        <f>_xlfn.DISPIMG("ID_4EB87334315047E3B016F59DE7BBD6EC",1)</f>
        <v>=DISPIMG("ID_4EB87334315047E3B016F59DE7BBD6EC",1)</v>
      </c>
      <c r="I30" s="43"/>
    </row>
    <row r="31" s="21" customFormat="1" ht="25" customHeight="1" spans="1:9">
      <c r="A31" s="27">
        <v>29</v>
      </c>
      <c r="B31" s="27" t="s">
        <v>675</v>
      </c>
      <c r="C31" s="27">
        <v>2</v>
      </c>
      <c r="D31" s="27" t="s">
        <v>665</v>
      </c>
      <c r="E31" s="27" t="s">
        <v>643</v>
      </c>
      <c r="F31" s="27"/>
      <c r="G31" s="27"/>
      <c r="H31" s="27" t="str">
        <f>_xlfn.DISPIMG("ID_A93AB3E8DA8848799BE27B2086758D7D",1)</f>
        <v>=DISPIMG("ID_A93AB3E8DA8848799BE27B2086758D7D",1)</v>
      </c>
      <c r="I31" s="43"/>
    </row>
    <row r="32" s="21" customFormat="1" ht="25" customHeight="1" spans="1:9">
      <c r="A32" s="27">
        <v>30</v>
      </c>
      <c r="B32" s="27" t="s">
        <v>112</v>
      </c>
      <c r="C32" s="27">
        <v>1</v>
      </c>
      <c r="D32" s="27" t="s">
        <v>665</v>
      </c>
      <c r="E32" s="27" t="s">
        <v>643</v>
      </c>
      <c r="F32" s="27"/>
      <c r="G32" s="27"/>
      <c r="H32" s="27" t="str">
        <f>_xlfn.DISPIMG("ID_2EAFC51952D4491C861E64E769279FBE",1)</f>
        <v>=DISPIMG("ID_2EAFC51952D4491C861E64E769279FBE",1)</v>
      </c>
      <c r="I32" s="43"/>
    </row>
    <row r="33" s="21" customFormat="1" ht="25" customHeight="1" spans="1:9">
      <c r="A33" s="27">
        <v>31</v>
      </c>
      <c r="B33" s="27" t="s">
        <v>676</v>
      </c>
      <c r="C33" s="27">
        <v>1</v>
      </c>
      <c r="D33" s="27" t="s">
        <v>665</v>
      </c>
      <c r="E33" s="27" t="s">
        <v>643</v>
      </c>
      <c r="F33" s="27"/>
      <c r="G33" s="27"/>
      <c r="H33" s="27" t="str">
        <f>_xlfn.DISPIMG("ID_BCA2C13BEFD349C4BAE5D2CDB7B6AFC6",1)</f>
        <v>=DISPIMG("ID_BCA2C13BEFD349C4BAE5D2CDB7B6AFC6",1)</v>
      </c>
      <c r="I33" s="43"/>
    </row>
    <row r="34" s="21" customFormat="1" ht="25" customHeight="1" spans="1:9">
      <c r="A34" s="27">
        <v>32</v>
      </c>
      <c r="B34" s="27" t="s">
        <v>677</v>
      </c>
      <c r="C34" s="27">
        <v>1</v>
      </c>
      <c r="D34" s="27" t="s">
        <v>665</v>
      </c>
      <c r="E34" s="27" t="s">
        <v>643</v>
      </c>
      <c r="F34" s="27"/>
      <c r="G34" s="27"/>
      <c r="H34" s="27" t="str">
        <f>_xlfn.DISPIMG("ID_3628CC6529DD4115B349AD58B598F0AB",1)</f>
        <v>=DISPIMG("ID_3628CC6529DD4115B349AD58B598F0AB",1)</v>
      </c>
      <c r="I34" s="43"/>
    </row>
    <row r="35" s="21" customFormat="1" ht="25" customHeight="1" spans="1:9">
      <c r="A35" s="27">
        <v>33</v>
      </c>
      <c r="B35" s="27" t="s">
        <v>678</v>
      </c>
      <c r="C35" s="27">
        <v>1</v>
      </c>
      <c r="D35" s="27" t="s">
        <v>665</v>
      </c>
      <c r="E35" s="27" t="s">
        <v>643</v>
      </c>
      <c r="F35" s="27"/>
      <c r="G35" s="27"/>
      <c r="H35" s="27" t="str">
        <f>_xlfn.DISPIMG("ID_556361EF234D4377A4306FFD8C247BF2",1)</f>
        <v>=DISPIMG("ID_556361EF234D4377A4306FFD8C247BF2",1)</v>
      </c>
      <c r="I35" s="43"/>
    </row>
    <row r="36" s="21" customFormat="1" ht="25" customHeight="1" spans="1:9">
      <c r="A36" s="27">
        <v>34</v>
      </c>
      <c r="B36" s="27" t="s">
        <v>679</v>
      </c>
      <c r="C36" s="27">
        <v>1</v>
      </c>
      <c r="D36" s="27" t="s">
        <v>665</v>
      </c>
      <c r="E36" s="27" t="s">
        <v>643</v>
      </c>
      <c r="F36" s="27"/>
      <c r="G36" s="27"/>
      <c r="H36" s="27" t="str">
        <f>_xlfn.DISPIMG("ID_2F798D53B5C24537B7F8BA72C53F139E",1)</f>
        <v>=DISPIMG("ID_2F798D53B5C24537B7F8BA72C53F139E",1)</v>
      </c>
      <c r="I36" s="43"/>
    </row>
    <row r="37" s="21" customFormat="1" ht="95" customHeight="1" spans="1:9">
      <c r="A37" s="27">
        <v>35</v>
      </c>
      <c r="B37" s="63" t="s">
        <v>680</v>
      </c>
      <c r="C37" s="27">
        <v>1</v>
      </c>
      <c r="D37" s="63" t="s">
        <v>681</v>
      </c>
      <c r="E37" s="27" t="s">
        <v>649</v>
      </c>
      <c r="F37" s="27"/>
      <c r="G37" s="27"/>
      <c r="H37" s="27" t="str">
        <f>_xlfn.DISPIMG("ID_05441189A12142A19050F6BBA4BAE1F3",1)</f>
        <v>=DISPIMG("ID_05441189A12142A19050F6BBA4BAE1F3",1)</v>
      </c>
      <c r="I37" s="43"/>
    </row>
    <row r="38" s="21" customFormat="1" ht="95" customHeight="1" spans="1:9">
      <c r="A38" s="27">
        <v>36</v>
      </c>
      <c r="B38" s="63" t="s">
        <v>682</v>
      </c>
      <c r="C38" s="27">
        <v>1</v>
      </c>
      <c r="D38" s="63" t="s">
        <v>681</v>
      </c>
      <c r="E38" s="27" t="s">
        <v>649</v>
      </c>
      <c r="F38" s="27"/>
      <c r="G38" s="27"/>
      <c r="H38" s="27" t="str">
        <f>_xlfn.DISPIMG("ID_C9601ADB43D74E4EB33513FD1325B93A",1)</f>
        <v>=DISPIMG("ID_C9601ADB43D74E4EB33513FD1325B93A",1)</v>
      </c>
      <c r="I38" s="44"/>
    </row>
    <row r="39" s="21" customFormat="1" ht="95" customHeight="1" spans="1:9">
      <c r="A39" s="27">
        <v>37</v>
      </c>
      <c r="B39" s="63" t="s">
        <v>683</v>
      </c>
      <c r="C39" s="27">
        <v>2</v>
      </c>
      <c r="D39" s="63" t="s">
        <v>684</v>
      </c>
      <c r="E39" s="27" t="s">
        <v>649</v>
      </c>
      <c r="F39" s="27"/>
      <c r="G39" s="27"/>
      <c r="H39" s="30" t="str">
        <f>_xlfn.DISPIMG("ID_F27501AB18F7436FAE0D7BB0C8A6C346",1)</f>
        <v>=DISPIMG("ID_F27501AB18F7436FAE0D7BB0C8A6C346",1)</v>
      </c>
      <c r="I39" s="42" t="s">
        <v>685</v>
      </c>
    </row>
    <row r="40" s="21" customFormat="1" ht="95" customHeight="1" spans="1:9">
      <c r="A40" s="27">
        <v>38</v>
      </c>
      <c r="B40" s="63" t="s">
        <v>686</v>
      </c>
      <c r="C40" s="27">
        <v>1</v>
      </c>
      <c r="D40" s="63" t="s">
        <v>684</v>
      </c>
      <c r="E40" s="27" t="s">
        <v>649</v>
      </c>
      <c r="F40" s="27"/>
      <c r="G40" s="27"/>
      <c r="H40" s="30" t="str">
        <f>_xlfn.DISPIMG("ID_0EAA99ECE5384FC8B4B97656E684E64A",1)</f>
        <v>=DISPIMG("ID_0EAA99ECE5384FC8B4B97656E684E64A",1)</v>
      </c>
      <c r="I40" s="43"/>
    </row>
    <row r="41" s="21" customFormat="1" ht="95" customHeight="1" spans="1:9">
      <c r="A41" s="27">
        <v>39</v>
      </c>
      <c r="B41" s="63" t="s">
        <v>687</v>
      </c>
      <c r="C41" s="27">
        <v>2</v>
      </c>
      <c r="D41" s="63" t="s">
        <v>684</v>
      </c>
      <c r="E41" s="27" t="s">
        <v>649</v>
      </c>
      <c r="F41" s="27"/>
      <c r="G41" s="27"/>
      <c r="H41" s="30" t="str">
        <f>_xlfn.DISPIMG("ID_BDE86108F48F45DB9663350EE26E3FD2",1)</f>
        <v>=DISPIMG("ID_BDE86108F48F45DB9663350EE26E3FD2",1)</v>
      </c>
      <c r="I41" s="43"/>
    </row>
    <row r="42" s="21" customFormat="1" ht="95" customHeight="1" spans="1:9">
      <c r="A42" s="27">
        <v>40</v>
      </c>
      <c r="B42" s="63" t="s">
        <v>688</v>
      </c>
      <c r="C42" s="27">
        <v>2</v>
      </c>
      <c r="D42" s="63" t="s">
        <v>684</v>
      </c>
      <c r="E42" s="27" t="s">
        <v>649</v>
      </c>
      <c r="F42" s="27"/>
      <c r="G42" s="27"/>
      <c r="H42" s="30" t="str">
        <f>_xlfn.DISPIMG("ID_B9D1B244723F4B809F6BC665248C5923",1)</f>
        <v>=DISPIMG("ID_B9D1B244723F4B809F6BC665248C5923",1)</v>
      </c>
      <c r="I42" s="43"/>
    </row>
    <row r="43" s="21" customFormat="1" ht="95" customHeight="1" spans="1:9">
      <c r="A43" s="27">
        <v>41</v>
      </c>
      <c r="B43" s="63" t="s">
        <v>689</v>
      </c>
      <c r="C43" s="27">
        <v>1</v>
      </c>
      <c r="D43" s="63" t="s">
        <v>684</v>
      </c>
      <c r="E43" s="27" t="s">
        <v>649</v>
      </c>
      <c r="F43" s="27"/>
      <c r="G43" s="27"/>
      <c r="H43" s="30" t="str">
        <f>_xlfn.DISPIMG("ID_4F73D4AD746748359458336648186A08",1)</f>
        <v>=DISPIMG("ID_4F73D4AD746748359458336648186A08",1)</v>
      </c>
      <c r="I43" s="43"/>
    </row>
    <row r="44" s="21" customFormat="1" ht="95" customHeight="1" spans="1:9">
      <c r="A44" s="27">
        <v>42</v>
      </c>
      <c r="B44" s="63" t="s">
        <v>690</v>
      </c>
      <c r="C44" s="27">
        <v>1</v>
      </c>
      <c r="D44" s="63" t="s">
        <v>684</v>
      </c>
      <c r="E44" s="27" t="s">
        <v>649</v>
      </c>
      <c r="F44" s="27"/>
      <c r="G44" s="27"/>
      <c r="H44" s="30" t="str">
        <f>_xlfn.DISPIMG("ID_49C5B3AEA7564277B48FA2B30331D68F",1)</f>
        <v>=DISPIMG("ID_49C5B3AEA7564277B48FA2B30331D68F",1)</v>
      </c>
      <c r="I44" s="43"/>
    </row>
    <row r="45" s="21" customFormat="1" ht="95" customHeight="1" spans="1:9">
      <c r="A45" s="27">
        <v>43</v>
      </c>
      <c r="B45" s="63" t="s">
        <v>691</v>
      </c>
      <c r="C45" s="27">
        <v>2</v>
      </c>
      <c r="D45" s="63" t="s">
        <v>684</v>
      </c>
      <c r="E45" s="27" t="s">
        <v>649</v>
      </c>
      <c r="F45" s="27"/>
      <c r="G45" s="27"/>
      <c r="H45" s="30" t="str">
        <f>_xlfn.DISPIMG("ID_36522B136C924778AECB9740426112F1",1)</f>
        <v>=DISPIMG("ID_36522B136C924778AECB9740426112F1",1)</v>
      </c>
      <c r="I45" s="43"/>
    </row>
    <row r="46" s="21" customFormat="1" ht="95" customHeight="1" spans="1:9">
      <c r="A46" s="27">
        <v>44</v>
      </c>
      <c r="B46" s="63" t="s">
        <v>692</v>
      </c>
      <c r="C46" s="27">
        <v>1</v>
      </c>
      <c r="D46" s="63" t="s">
        <v>684</v>
      </c>
      <c r="E46" s="27" t="s">
        <v>649</v>
      </c>
      <c r="F46" s="27"/>
      <c r="G46" s="27"/>
      <c r="H46" s="30" t="str">
        <f>_xlfn.DISPIMG("ID_27197E665A75492A833D43539AF1AB55",1)</f>
        <v>=DISPIMG("ID_27197E665A75492A833D43539AF1AB55",1)</v>
      </c>
      <c r="I46" s="43"/>
    </row>
    <row r="47" s="21" customFormat="1" ht="95" customHeight="1" spans="1:9">
      <c r="A47" s="27">
        <v>45</v>
      </c>
      <c r="B47" s="63" t="s">
        <v>693</v>
      </c>
      <c r="C47" s="27">
        <v>1</v>
      </c>
      <c r="D47" s="63" t="s">
        <v>684</v>
      </c>
      <c r="E47" s="27" t="s">
        <v>649</v>
      </c>
      <c r="F47" s="27"/>
      <c r="G47" s="27"/>
      <c r="H47" s="30" t="str">
        <f>_xlfn.DISPIMG("ID_D7E00E660FFC40AAA1621B8D1E312D9F",1)</f>
        <v>=DISPIMG("ID_D7E00E660FFC40AAA1621B8D1E312D9F",1)</v>
      </c>
      <c r="I47" s="43"/>
    </row>
    <row r="48" s="21" customFormat="1" ht="95" customHeight="1" spans="1:9">
      <c r="A48" s="27">
        <v>46</v>
      </c>
      <c r="B48" s="63" t="s">
        <v>694</v>
      </c>
      <c r="C48" s="27">
        <v>1</v>
      </c>
      <c r="D48" s="63" t="s">
        <v>684</v>
      </c>
      <c r="E48" s="27" t="s">
        <v>649</v>
      </c>
      <c r="F48" s="27"/>
      <c r="G48" s="27"/>
      <c r="H48" s="30" t="str">
        <f>_xlfn.DISPIMG("ID_83607D6CE6394B5AB815C2596B36A528",1)</f>
        <v>=DISPIMG("ID_83607D6CE6394B5AB815C2596B36A528",1)</v>
      </c>
      <c r="I48" s="43"/>
    </row>
    <row r="49" s="21" customFormat="1" ht="95" customHeight="1" spans="1:9">
      <c r="A49" s="27">
        <v>47</v>
      </c>
      <c r="B49" s="63" t="s">
        <v>695</v>
      </c>
      <c r="C49" s="27">
        <v>1</v>
      </c>
      <c r="D49" s="63" t="s">
        <v>684</v>
      </c>
      <c r="E49" s="27" t="s">
        <v>649</v>
      </c>
      <c r="F49" s="27"/>
      <c r="G49" s="27"/>
      <c r="H49" s="30" t="str">
        <f>_xlfn.DISPIMG("ID_AFEB41F23B23484F999D225294D70F7F",1)</f>
        <v>=DISPIMG("ID_AFEB41F23B23484F999D225294D70F7F",1)</v>
      </c>
      <c r="I49" s="43"/>
    </row>
    <row r="50" s="21" customFormat="1" ht="95" customHeight="1" spans="1:9">
      <c r="A50" s="27">
        <v>48</v>
      </c>
      <c r="B50" s="63" t="s">
        <v>696</v>
      </c>
      <c r="C50" s="27">
        <v>1</v>
      </c>
      <c r="D50" s="63" t="s">
        <v>684</v>
      </c>
      <c r="E50" s="27" t="s">
        <v>649</v>
      </c>
      <c r="F50" s="27"/>
      <c r="G50" s="27"/>
      <c r="H50" s="30" t="str">
        <f>_xlfn.DISPIMG("ID_6AE36AD45D004C449A5D56E233B5D07C",1)</f>
        <v>=DISPIMG("ID_6AE36AD45D004C449A5D56E233B5D07C",1)</v>
      </c>
      <c r="I50" s="43"/>
    </row>
    <row r="51" s="21" customFormat="1" ht="95" customHeight="1" spans="1:9">
      <c r="A51" s="27">
        <v>49</v>
      </c>
      <c r="B51" s="63" t="s">
        <v>697</v>
      </c>
      <c r="C51" s="27">
        <v>2</v>
      </c>
      <c r="D51" s="63" t="s">
        <v>684</v>
      </c>
      <c r="E51" s="27" t="s">
        <v>649</v>
      </c>
      <c r="F51" s="27"/>
      <c r="G51" s="27"/>
      <c r="H51" s="30" t="str">
        <f>_xlfn.DISPIMG("ID_7F01BF82BDE346228DC1588108CC86E4",1)</f>
        <v>=DISPIMG("ID_7F01BF82BDE346228DC1588108CC86E4",1)</v>
      </c>
      <c r="I51" s="43"/>
    </row>
    <row r="52" s="21" customFormat="1" ht="95" customHeight="1" spans="1:9">
      <c r="A52" s="27">
        <v>50</v>
      </c>
      <c r="B52" s="27" t="s">
        <v>698</v>
      </c>
      <c r="C52" s="27">
        <v>1</v>
      </c>
      <c r="D52" s="27" t="s">
        <v>699</v>
      </c>
      <c r="E52" s="27" t="s">
        <v>700</v>
      </c>
      <c r="F52" s="27"/>
      <c r="G52" s="27"/>
      <c r="H52" s="30" t="str">
        <f>_xlfn.DISPIMG("ID_27F805CADACF433989930AB35F8546BC",1)</f>
        <v>=DISPIMG("ID_27F805CADACF433989930AB35F8546BC",1)</v>
      </c>
      <c r="I52" s="43"/>
    </row>
    <row r="53" s="21" customFormat="1" ht="25" customHeight="1" spans="1:9">
      <c r="A53" s="27">
        <v>51</v>
      </c>
      <c r="B53" s="27" t="s">
        <v>701</v>
      </c>
      <c r="C53" s="27">
        <v>1</v>
      </c>
      <c r="D53" s="27" t="s">
        <v>699</v>
      </c>
      <c r="E53" s="27" t="s">
        <v>702</v>
      </c>
      <c r="F53" s="27"/>
      <c r="G53" s="27"/>
      <c r="H53" s="30" t="str">
        <f>_xlfn.DISPIMG("ID_3EA735520440491AA58AB9841BF2E3B7",1)</f>
        <v>=DISPIMG("ID_3EA735520440491AA58AB9841BF2E3B7",1)</v>
      </c>
      <c r="I53" s="43"/>
    </row>
    <row r="54" s="21" customFormat="1" ht="25" customHeight="1" spans="1:9">
      <c r="A54" s="27">
        <v>52</v>
      </c>
      <c r="B54" s="27" t="s">
        <v>468</v>
      </c>
      <c r="C54" s="27">
        <v>1</v>
      </c>
      <c r="D54" s="27" t="s">
        <v>699</v>
      </c>
      <c r="E54" s="27" t="s">
        <v>468</v>
      </c>
      <c r="F54" s="27"/>
      <c r="G54" s="27"/>
      <c r="H54" s="30" t="str">
        <f>_xlfn.DISPIMG("ID_4EF7B87A8ADA4438B2932E062934682A",1)</f>
        <v>=DISPIMG("ID_4EF7B87A8ADA4438B2932E062934682A",1)</v>
      </c>
      <c r="I54" s="43"/>
    </row>
    <row r="55" s="21" customFormat="1" ht="25" customHeight="1" spans="1:9">
      <c r="A55" s="27">
        <v>53</v>
      </c>
      <c r="B55" s="27" t="s">
        <v>703</v>
      </c>
      <c r="C55" s="27">
        <v>1</v>
      </c>
      <c r="D55" s="27" t="s">
        <v>699</v>
      </c>
      <c r="E55" s="27" t="s">
        <v>704</v>
      </c>
      <c r="F55" s="27"/>
      <c r="G55" s="27"/>
      <c r="H55" s="30" t="str">
        <f>_xlfn.DISPIMG("ID_94A3C87BB0904549A33AD508DFCB00C7",1)</f>
        <v>=DISPIMG("ID_94A3C87BB0904549A33AD508DFCB00C7",1)</v>
      </c>
      <c r="I55" s="43"/>
    </row>
    <row r="56" s="21" customFormat="1" ht="25" customHeight="1" spans="1:9">
      <c r="A56" s="27">
        <v>54</v>
      </c>
      <c r="B56" s="27" t="s">
        <v>705</v>
      </c>
      <c r="C56" s="27">
        <v>1</v>
      </c>
      <c r="D56" s="27" t="s">
        <v>699</v>
      </c>
      <c r="E56" s="27" t="s">
        <v>666</v>
      </c>
      <c r="F56" s="27"/>
      <c r="G56" s="27"/>
      <c r="H56" s="27" t="str">
        <f>_xlfn.DISPIMG("ID_7793A45E5EC1405D9042A2138106F0B0",1)</f>
        <v>=DISPIMG("ID_7793A45E5EC1405D9042A2138106F0B0",1)</v>
      </c>
      <c r="I56" s="43"/>
    </row>
    <row r="57" s="21" customFormat="1" ht="25" customHeight="1" spans="1:9">
      <c r="A57" s="27">
        <v>55</v>
      </c>
      <c r="B57" s="27" t="s">
        <v>706</v>
      </c>
      <c r="C57" s="27">
        <v>1</v>
      </c>
      <c r="D57" s="27" t="s">
        <v>699</v>
      </c>
      <c r="E57" s="27" t="s">
        <v>668</v>
      </c>
      <c r="F57" s="27"/>
      <c r="G57" s="27"/>
      <c r="H57" s="27" t="str">
        <f>_xlfn.DISPIMG("ID_869CAADDF5524019B4F14693F619351E",1)</f>
        <v>=DISPIMG("ID_869CAADDF5524019B4F14693F619351E",1)</v>
      </c>
      <c r="I57" s="43"/>
    </row>
    <row r="58" s="21" customFormat="1" ht="25" customHeight="1" spans="1:9">
      <c r="A58" s="27">
        <v>56</v>
      </c>
      <c r="B58" s="27" t="s">
        <v>707</v>
      </c>
      <c r="C58" s="27">
        <v>2</v>
      </c>
      <c r="D58" s="27" t="s">
        <v>699</v>
      </c>
      <c r="E58" s="27" t="s">
        <v>643</v>
      </c>
      <c r="F58" s="27"/>
      <c r="G58" s="27"/>
      <c r="H58" s="27" t="str">
        <f>_xlfn.DISPIMG("ID_7621894C90AF4097B807C5ACEF2358C5",1)</f>
        <v>=DISPIMG("ID_7621894C90AF4097B807C5ACEF2358C5",1)</v>
      </c>
      <c r="I58" s="43"/>
    </row>
    <row r="59" s="21" customFormat="1" ht="25" customHeight="1" spans="1:9">
      <c r="A59" s="27">
        <v>57</v>
      </c>
      <c r="B59" s="27" t="s">
        <v>708</v>
      </c>
      <c r="C59" s="27">
        <v>1</v>
      </c>
      <c r="D59" s="27" t="s">
        <v>699</v>
      </c>
      <c r="E59" s="27" t="s">
        <v>641</v>
      </c>
      <c r="F59" s="27"/>
      <c r="G59" s="27"/>
      <c r="H59" s="27" t="str">
        <f>_xlfn.DISPIMG("ID_E4A921E2BDB141FA91753337FE6C73AB",1)</f>
        <v>=DISPIMG("ID_E4A921E2BDB141FA91753337FE6C73AB",1)</v>
      </c>
      <c r="I59" s="44"/>
    </row>
    <row r="60" s="21" customFormat="1" ht="57.55" spans="1:9">
      <c r="A60" s="27">
        <v>58</v>
      </c>
      <c r="B60" s="63" t="s">
        <v>709</v>
      </c>
      <c r="C60" s="27">
        <v>4</v>
      </c>
      <c r="D60" s="63" t="s">
        <v>710</v>
      </c>
      <c r="E60" s="27" t="s">
        <v>649</v>
      </c>
      <c r="F60" s="27"/>
      <c r="G60" s="27"/>
      <c r="H60" s="30" t="str">
        <f>_xlfn.DISPIMG("ID_0A7271CA700A44C2B52E4D49099D866F",1)</f>
        <v>=DISPIMG("ID_0A7271CA700A44C2B52E4D49099D866F",1)</v>
      </c>
      <c r="I60" s="42" t="s">
        <v>711</v>
      </c>
    </row>
    <row r="61" s="21" customFormat="1" ht="57.55" spans="1:9">
      <c r="A61" s="27">
        <v>59</v>
      </c>
      <c r="B61" s="63" t="s">
        <v>712</v>
      </c>
      <c r="C61" s="27">
        <v>4</v>
      </c>
      <c r="D61" s="63" t="s">
        <v>710</v>
      </c>
      <c r="E61" s="27" t="s">
        <v>649</v>
      </c>
      <c r="F61" s="27"/>
      <c r="G61" s="27"/>
      <c r="H61" s="30" t="str">
        <f>_xlfn.DISPIMG("ID_285371A18C8343FE8DAE60FBFFB138B0",1)</f>
        <v>=DISPIMG("ID_285371A18C8343FE8DAE60FBFFB138B0",1)</v>
      </c>
      <c r="I61" s="43"/>
    </row>
    <row r="62" s="21" customFormat="1" ht="57.55" spans="1:9">
      <c r="A62" s="27">
        <v>60</v>
      </c>
      <c r="B62" s="63" t="s">
        <v>713</v>
      </c>
      <c r="C62" s="27">
        <v>4</v>
      </c>
      <c r="D62" s="63" t="s">
        <v>710</v>
      </c>
      <c r="E62" s="27" t="s">
        <v>649</v>
      </c>
      <c r="F62" s="27"/>
      <c r="G62" s="27"/>
      <c r="H62" s="30" t="str">
        <f>_xlfn.DISPIMG("ID_07A2E563D5C84CB899B67502FA84AC61",1)</f>
        <v>=DISPIMG("ID_07A2E563D5C84CB899B67502FA84AC61",1)</v>
      </c>
      <c r="I62" s="43"/>
    </row>
    <row r="63" s="21" customFormat="1" ht="57.55" spans="1:9">
      <c r="A63" s="27">
        <v>61</v>
      </c>
      <c r="B63" s="63" t="s">
        <v>714</v>
      </c>
      <c r="C63" s="27">
        <v>4</v>
      </c>
      <c r="D63" s="63" t="s">
        <v>710</v>
      </c>
      <c r="E63" s="27" t="s">
        <v>649</v>
      </c>
      <c r="F63" s="27"/>
      <c r="G63" s="27"/>
      <c r="H63" s="30" t="str">
        <f>_xlfn.DISPIMG("ID_5E92C3043F234F0CA2E7D9086ECC4612",1)</f>
        <v>=DISPIMG("ID_5E92C3043F234F0CA2E7D9086ECC4612",1)</v>
      </c>
      <c r="I63" s="43"/>
    </row>
    <row r="64" s="21" customFormat="1" ht="57.55" spans="1:9">
      <c r="A64" s="27">
        <v>62</v>
      </c>
      <c r="B64" s="63" t="s">
        <v>715</v>
      </c>
      <c r="C64" s="27">
        <v>4</v>
      </c>
      <c r="D64" s="63" t="s">
        <v>710</v>
      </c>
      <c r="E64" s="27" t="s">
        <v>649</v>
      </c>
      <c r="F64" s="27"/>
      <c r="G64" s="27"/>
      <c r="H64" s="30" t="str">
        <f>_xlfn.DISPIMG("ID_54E66A68916A44E4BC3794B178FBAC23",1)</f>
        <v>=DISPIMG("ID_54E66A68916A44E4BC3794B178FBAC23",1)</v>
      </c>
      <c r="I64" s="43"/>
    </row>
    <row r="65" s="21" customFormat="1" ht="57.55" spans="1:9">
      <c r="A65" s="27">
        <v>63</v>
      </c>
      <c r="B65" s="63" t="s">
        <v>716</v>
      </c>
      <c r="C65" s="27">
        <v>4</v>
      </c>
      <c r="D65" s="63" t="s">
        <v>710</v>
      </c>
      <c r="E65" s="27" t="s">
        <v>649</v>
      </c>
      <c r="F65" s="27"/>
      <c r="G65" s="27"/>
      <c r="H65" s="30" t="str">
        <f>_xlfn.DISPIMG("ID_3BF7D84A50A546D48003C31B10911735",1)</f>
        <v>=DISPIMG("ID_3BF7D84A50A546D48003C31B10911735",1)</v>
      </c>
      <c r="I65" s="43"/>
    </row>
    <row r="66" s="21" customFormat="1" ht="57.55" spans="1:9">
      <c r="A66" s="27">
        <v>64</v>
      </c>
      <c r="B66" s="63" t="s">
        <v>717</v>
      </c>
      <c r="C66" s="27">
        <v>4</v>
      </c>
      <c r="D66" s="63" t="s">
        <v>710</v>
      </c>
      <c r="E66" s="27" t="s">
        <v>649</v>
      </c>
      <c r="F66" s="27"/>
      <c r="G66" s="27"/>
      <c r="H66" s="30" t="str">
        <f>_xlfn.DISPIMG("ID_FE1E26D7E2204DDD8FB6CAB43BD01967",1)</f>
        <v>=DISPIMG("ID_FE1E26D7E2204DDD8FB6CAB43BD01967",1)</v>
      </c>
      <c r="I66" s="43"/>
    </row>
    <row r="67" s="21" customFormat="1" ht="57.55" spans="1:9">
      <c r="A67" s="27">
        <v>65</v>
      </c>
      <c r="B67" s="63" t="s">
        <v>718</v>
      </c>
      <c r="C67" s="27">
        <v>4</v>
      </c>
      <c r="D67" s="63" t="s">
        <v>710</v>
      </c>
      <c r="E67" s="27" t="s">
        <v>649</v>
      </c>
      <c r="F67" s="27"/>
      <c r="G67" s="27"/>
      <c r="H67" s="30" t="str">
        <f>_xlfn.DISPIMG("ID_C2716789C3904526B4AC957A72AF66AE",1)</f>
        <v>=DISPIMG("ID_C2716789C3904526B4AC957A72AF66AE",1)</v>
      </c>
      <c r="I67" s="43"/>
    </row>
    <row r="68" s="21" customFormat="1" ht="57.55" spans="1:9">
      <c r="A68" s="27">
        <v>66</v>
      </c>
      <c r="B68" s="63" t="s">
        <v>719</v>
      </c>
      <c r="C68" s="27">
        <v>4</v>
      </c>
      <c r="D68" s="63" t="s">
        <v>710</v>
      </c>
      <c r="E68" s="27" t="s">
        <v>649</v>
      </c>
      <c r="F68" s="27"/>
      <c r="G68" s="27"/>
      <c r="H68" s="30" t="str">
        <f>_xlfn.DISPIMG("ID_45B9A5E4898C4928A53CA8693A407738",1)</f>
        <v>=DISPIMG("ID_45B9A5E4898C4928A53CA8693A407738",1)</v>
      </c>
      <c r="I68" s="43"/>
    </row>
    <row r="69" s="21" customFormat="1" ht="57.55" spans="1:9">
      <c r="A69" s="27">
        <v>67</v>
      </c>
      <c r="B69" s="63" t="s">
        <v>720</v>
      </c>
      <c r="C69" s="27">
        <v>4</v>
      </c>
      <c r="D69" s="63" t="s">
        <v>710</v>
      </c>
      <c r="E69" s="27" t="s">
        <v>649</v>
      </c>
      <c r="F69" s="27"/>
      <c r="G69" s="27"/>
      <c r="H69" s="30" t="str">
        <f>_xlfn.DISPIMG("ID_6635BAD0CD3D4A38B04A65F3A4F0EDBF",1)</f>
        <v>=DISPIMG("ID_6635BAD0CD3D4A38B04A65F3A4F0EDBF",1)</v>
      </c>
      <c r="I69" s="43"/>
    </row>
    <row r="70" s="21" customFormat="1" ht="57.55" spans="1:9">
      <c r="A70" s="27">
        <v>68</v>
      </c>
      <c r="B70" s="63" t="s">
        <v>721</v>
      </c>
      <c r="C70" s="27">
        <v>4</v>
      </c>
      <c r="D70" s="63" t="s">
        <v>710</v>
      </c>
      <c r="E70" s="27" t="s">
        <v>649</v>
      </c>
      <c r="F70" s="27"/>
      <c r="G70" s="27"/>
      <c r="H70" s="30" t="str">
        <f>_xlfn.DISPIMG("ID_04CF328A4DD64394BF6BF8B7BB70370B",1)</f>
        <v>=DISPIMG("ID_04CF328A4DD64394BF6BF8B7BB70370B",1)</v>
      </c>
      <c r="I70" s="43"/>
    </row>
    <row r="71" s="21" customFormat="1" ht="57.55" spans="1:9">
      <c r="A71" s="27">
        <v>69</v>
      </c>
      <c r="B71" s="63" t="s">
        <v>722</v>
      </c>
      <c r="C71" s="27">
        <v>4</v>
      </c>
      <c r="D71" s="63" t="s">
        <v>710</v>
      </c>
      <c r="E71" s="27" t="s">
        <v>649</v>
      </c>
      <c r="F71" s="27"/>
      <c r="G71" s="27"/>
      <c r="H71" s="30" t="str">
        <f>_xlfn.DISPIMG("ID_D9EFA55BD021453B87E0ABF75FF9CAD1",1)</f>
        <v>=DISPIMG("ID_D9EFA55BD021453B87E0ABF75FF9CAD1",1)</v>
      </c>
      <c r="I71" s="43"/>
    </row>
    <row r="72" s="21" customFormat="1" ht="57.55" spans="1:9">
      <c r="A72" s="27">
        <v>70</v>
      </c>
      <c r="B72" s="63" t="s">
        <v>723</v>
      </c>
      <c r="C72" s="27">
        <v>4</v>
      </c>
      <c r="D72" s="63" t="s">
        <v>710</v>
      </c>
      <c r="E72" s="27" t="s">
        <v>649</v>
      </c>
      <c r="F72" s="27"/>
      <c r="G72" s="27"/>
      <c r="H72" s="30" t="str">
        <f>_xlfn.DISPIMG("ID_4F8131E7552C498FA76DC4822FFDAA83",1)</f>
        <v>=DISPIMG("ID_4F8131E7552C498FA76DC4822FFDAA83",1)</v>
      </c>
      <c r="I72" s="43"/>
    </row>
    <row r="73" s="21" customFormat="1" ht="57.55" spans="1:9">
      <c r="A73" s="27">
        <v>71</v>
      </c>
      <c r="B73" s="63" t="s">
        <v>724</v>
      </c>
      <c r="C73" s="27">
        <v>4</v>
      </c>
      <c r="D73" s="63" t="s">
        <v>710</v>
      </c>
      <c r="E73" s="27" t="s">
        <v>649</v>
      </c>
      <c r="F73" s="27"/>
      <c r="G73" s="27"/>
      <c r="H73" s="30" t="str">
        <f>_xlfn.DISPIMG("ID_357D69E9ADAA4508B56EC22F3F977950",1)</f>
        <v>=DISPIMG("ID_357D69E9ADAA4508B56EC22F3F977950",1)</v>
      </c>
      <c r="I73" s="43"/>
    </row>
    <row r="74" s="21" customFormat="1" ht="57.55" spans="1:9">
      <c r="A74" s="27">
        <v>72</v>
      </c>
      <c r="B74" s="63" t="s">
        <v>725</v>
      </c>
      <c r="C74" s="27">
        <v>4</v>
      </c>
      <c r="D74" s="63" t="s">
        <v>710</v>
      </c>
      <c r="E74" s="27" t="s">
        <v>649</v>
      </c>
      <c r="F74" s="27"/>
      <c r="G74" s="27"/>
      <c r="H74" s="27" t="str">
        <f>_xlfn.DISPIMG("ID_9FD199272E374BE79D005F1CF4CFA4F6",1)</f>
        <v>=DISPIMG("ID_9FD199272E374BE79D005F1CF4CFA4F6",1)</v>
      </c>
      <c r="I74" s="43"/>
    </row>
    <row r="75" s="21" customFormat="1" ht="57.55" spans="1:9">
      <c r="A75" s="27">
        <v>73</v>
      </c>
      <c r="B75" s="63" t="s">
        <v>726</v>
      </c>
      <c r="C75" s="27">
        <v>4</v>
      </c>
      <c r="D75" s="63" t="s">
        <v>710</v>
      </c>
      <c r="E75" s="27" t="s">
        <v>649</v>
      </c>
      <c r="F75" s="27"/>
      <c r="G75" s="27"/>
      <c r="H75" s="27" t="str">
        <f>_xlfn.DISPIMG("ID_7354E17E60A34C13A4417F044A74B382",1)</f>
        <v>=DISPIMG("ID_7354E17E60A34C13A4417F044A74B382",1)</v>
      </c>
      <c r="I75" s="43"/>
    </row>
    <row r="76" s="21" customFormat="1" ht="57.55" spans="1:9">
      <c r="A76" s="27">
        <v>74</v>
      </c>
      <c r="B76" s="63" t="s">
        <v>727</v>
      </c>
      <c r="C76" s="27">
        <v>4</v>
      </c>
      <c r="D76" s="63" t="s">
        <v>710</v>
      </c>
      <c r="E76" s="27" t="s">
        <v>649</v>
      </c>
      <c r="F76" s="27"/>
      <c r="G76" s="27"/>
      <c r="H76" s="27" t="str">
        <f>_xlfn.DISPIMG("ID_EEBFE78CD8DB40B8A19FB2EE687C8166",1)</f>
        <v>=DISPIMG("ID_EEBFE78CD8DB40B8A19FB2EE687C8166",1)</v>
      </c>
      <c r="I76" s="43"/>
    </row>
    <row r="77" s="21" customFormat="1" ht="57.55" spans="1:9">
      <c r="A77" s="27">
        <v>75</v>
      </c>
      <c r="B77" s="63" t="s">
        <v>728</v>
      </c>
      <c r="C77" s="27">
        <v>4</v>
      </c>
      <c r="D77" s="63" t="s">
        <v>710</v>
      </c>
      <c r="E77" s="27" t="s">
        <v>649</v>
      </c>
      <c r="F77" s="27"/>
      <c r="G77" s="27"/>
      <c r="H77" s="27" t="str">
        <f>_xlfn.DISPIMG("ID_B0E48F5AE8FB4E64B9F13D9C7531C55D",1)</f>
        <v>=DISPIMG("ID_B0E48F5AE8FB4E64B9F13D9C7531C55D",1)</v>
      </c>
      <c r="I77" s="43"/>
    </row>
    <row r="78" s="21" customFormat="1" ht="64.65" spans="1:9">
      <c r="A78" s="27">
        <v>76</v>
      </c>
      <c r="B78" s="63" t="s">
        <v>729</v>
      </c>
      <c r="C78" s="27">
        <v>4</v>
      </c>
      <c r="D78" s="63" t="s">
        <v>710</v>
      </c>
      <c r="E78" s="27" t="s">
        <v>649</v>
      </c>
      <c r="F78" s="27"/>
      <c r="G78" s="27"/>
      <c r="H78" s="27" t="str">
        <f>_xlfn.DISPIMG("ID_BDC79B45FF0642EF8D473762BFCEC478",1)</f>
        <v>=DISPIMG("ID_BDC79B45FF0642EF8D473762BFCEC478",1)</v>
      </c>
      <c r="I78" s="43"/>
    </row>
    <row r="79" s="21" customFormat="1" ht="57.55" spans="1:9">
      <c r="A79" s="27">
        <v>77</v>
      </c>
      <c r="B79" s="63" t="s">
        <v>730</v>
      </c>
      <c r="C79" s="27">
        <v>4</v>
      </c>
      <c r="D79" s="63" t="s">
        <v>710</v>
      </c>
      <c r="E79" s="27" t="s">
        <v>649</v>
      </c>
      <c r="F79" s="27"/>
      <c r="G79" s="27"/>
      <c r="H79" s="27" t="str">
        <f>_xlfn.DISPIMG("ID_1151341035CD4B2FB43DB0120A37DA5F",1)</f>
        <v>=DISPIMG("ID_1151341035CD4B2FB43DB0120A37DA5F",1)</v>
      </c>
      <c r="I79" s="43"/>
    </row>
    <row r="80" s="21" customFormat="1" ht="57.55" spans="1:9">
      <c r="A80" s="27">
        <v>78</v>
      </c>
      <c r="B80" s="63" t="s">
        <v>731</v>
      </c>
      <c r="C80" s="27">
        <v>4</v>
      </c>
      <c r="D80" s="63" t="s">
        <v>710</v>
      </c>
      <c r="E80" s="27" t="s">
        <v>649</v>
      </c>
      <c r="F80" s="27"/>
      <c r="G80" s="27"/>
      <c r="H80" s="27" t="str">
        <f>_xlfn.DISPIMG("ID_DF4B952BEAF244B59323DBFFF1D157BD",1)</f>
        <v>=DISPIMG("ID_DF4B952BEAF244B59323DBFFF1D157BD",1)</v>
      </c>
      <c r="I80" s="43"/>
    </row>
    <row r="81" s="21" customFormat="1" ht="57.55" spans="1:9">
      <c r="A81" s="27">
        <v>79</v>
      </c>
      <c r="B81" s="63" t="s">
        <v>732</v>
      </c>
      <c r="C81" s="27">
        <v>4</v>
      </c>
      <c r="D81" s="63" t="s">
        <v>710</v>
      </c>
      <c r="E81" s="27" t="s">
        <v>649</v>
      </c>
      <c r="F81" s="27"/>
      <c r="G81" s="27"/>
      <c r="H81" s="27" t="str">
        <f>_xlfn.DISPIMG("ID_149211C9BCE34D25909CFE6ED454951D",1)</f>
        <v>=DISPIMG("ID_149211C9BCE34D25909CFE6ED454951D",1)</v>
      </c>
      <c r="I81" s="43"/>
    </row>
    <row r="82" s="21" customFormat="1" ht="57.55" spans="1:9">
      <c r="A82" s="27">
        <v>80</v>
      </c>
      <c r="B82" s="63" t="s">
        <v>733</v>
      </c>
      <c r="C82" s="27">
        <v>4</v>
      </c>
      <c r="D82" s="63" t="s">
        <v>710</v>
      </c>
      <c r="E82" s="27" t="s">
        <v>649</v>
      </c>
      <c r="F82" s="27"/>
      <c r="G82" s="27"/>
      <c r="H82" s="27" t="str">
        <f>_xlfn.DISPIMG("ID_478A6B27129E4B90939A9545894A0DDA",1)</f>
        <v>=DISPIMG("ID_478A6B27129E4B90939A9545894A0DDA",1)</v>
      </c>
      <c r="I82" s="43"/>
    </row>
    <row r="83" s="21" customFormat="1" ht="57.55" spans="1:9">
      <c r="A83" s="27">
        <v>81</v>
      </c>
      <c r="B83" s="63" t="s">
        <v>734</v>
      </c>
      <c r="C83" s="27">
        <v>4</v>
      </c>
      <c r="D83" s="63" t="s">
        <v>710</v>
      </c>
      <c r="E83" s="27" t="s">
        <v>649</v>
      </c>
      <c r="F83" s="27"/>
      <c r="G83" s="27"/>
      <c r="H83" s="27" t="str">
        <f>_xlfn.DISPIMG("ID_C6A68C2D05994502BD9E2A32B3355C12",1)</f>
        <v>=DISPIMG("ID_C6A68C2D05994502BD9E2A32B3355C12",1)</v>
      </c>
      <c r="I83" s="43"/>
    </row>
    <row r="84" s="21" customFormat="1" ht="57.55" spans="1:9">
      <c r="A84" s="27">
        <v>82</v>
      </c>
      <c r="B84" s="63" t="s">
        <v>735</v>
      </c>
      <c r="C84" s="27">
        <v>4</v>
      </c>
      <c r="D84" s="63" t="s">
        <v>710</v>
      </c>
      <c r="E84" s="27" t="s">
        <v>649</v>
      </c>
      <c r="F84" s="27"/>
      <c r="G84" s="27"/>
      <c r="H84" s="27" t="str">
        <f>_xlfn.DISPIMG("ID_E01016F58CAB46C2B5141AD7D61A4940",1)</f>
        <v>=DISPIMG("ID_E01016F58CAB46C2B5141AD7D61A4940",1)</v>
      </c>
      <c r="I84" s="43"/>
    </row>
    <row r="85" s="21" customFormat="1" ht="57.55" spans="1:9">
      <c r="A85" s="27">
        <v>83</v>
      </c>
      <c r="B85" s="63" t="s">
        <v>736</v>
      </c>
      <c r="C85" s="27">
        <v>4</v>
      </c>
      <c r="D85" s="63" t="s">
        <v>710</v>
      </c>
      <c r="E85" s="27" t="s">
        <v>649</v>
      </c>
      <c r="F85" s="27"/>
      <c r="G85" s="27"/>
      <c r="H85" s="27" t="str">
        <f>_xlfn.DISPIMG("ID_E80CDF86822E44A88B40B8F87AE33CEB",1)</f>
        <v>=DISPIMG("ID_E80CDF86822E44A88B40B8F87AE33CEB",1)</v>
      </c>
      <c r="I85" s="43"/>
    </row>
    <row r="86" s="21" customFormat="1" ht="57.55" spans="1:9">
      <c r="A86" s="27">
        <v>84</v>
      </c>
      <c r="B86" s="63" t="s">
        <v>737</v>
      </c>
      <c r="C86" s="27">
        <v>4</v>
      </c>
      <c r="D86" s="63" t="s">
        <v>710</v>
      </c>
      <c r="E86" s="27" t="s">
        <v>649</v>
      </c>
      <c r="F86" s="27"/>
      <c r="G86" s="27"/>
      <c r="H86" s="27" t="str">
        <f>_xlfn.DISPIMG("ID_BCC52DFD12EC419787E46180C5AE2AF2",1)</f>
        <v>=DISPIMG("ID_BCC52DFD12EC419787E46180C5AE2AF2",1)</v>
      </c>
      <c r="I86" s="43"/>
    </row>
    <row r="87" s="21" customFormat="1" ht="57.55" spans="1:9">
      <c r="A87" s="27">
        <v>85</v>
      </c>
      <c r="B87" s="63" t="s">
        <v>738</v>
      </c>
      <c r="C87" s="27">
        <v>4</v>
      </c>
      <c r="D87" s="63" t="s">
        <v>710</v>
      </c>
      <c r="E87" s="27" t="s">
        <v>649</v>
      </c>
      <c r="F87" s="27"/>
      <c r="G87" s="27"/>
      <c r="H87" s="27" t="str">
        <f>_xlfn.DISPIMG("ID_A371428BE5BA4E99A31956A8B1CB3507",1)</f>
        <v>=DISPIMG("ID_A371428BE5BA4E99A31956A8B1CB3507",1)</v>
      </c>
      <c r="I87" s="43"/>
    </row>
    <row r="88" s="21" customFormat="1" ht="57.55" spans="1:9">
      <c r="A88" s="27">
        <v>86</v>
      </c>
      <c r="B88" s="63" t="s">
        <v>739</v>
      </c>
      <c r="C88" s="27">
        <v>4</v>
      </c>
      <c r="D88" s="63" t="s">
        <v>710</v>
      </c>
      <c r="E88" s="27" t="s">
        <v>649</v>
      </c>
      <c r="F88" s="27"/>
      <c r="G88" s="27"/>
      <c r="H88" s="27" t="str">
        <f>_xlfn.DISPIMG("ID_42D0A26FC7374DD2BB8FDBD3C1550C58",1)</f>
        <v>=DISPIMG("ID_42D0A26FC7374DD2BB8FDBD3C1550C58",1)</v>
      </c>
      <c r="I88" s="43"/>
    </row>
    <row r="89" s="21" customFormat="1" ht="57.55" spans="1:9">
      <c r="A89" s="27">
        <v>87</v>
      </c>
      <c r="B89" s="63" t="s">
        <v>740</v>
      </c>
      <c r="C89" s="27">
        <v>4</v>
      </c>
      <c r="D89" s="63" t="s">
        <v>710</v>
      </c>
      <c r="E89" s="27" t="s">
        <v>649</v>
      </c>
      <c r="F89" s="27"/>
      <c r="G89" s="27"/>
      <c r="H89" s="27" t="str">
        <f>_xlfn.DISPIMG("ID_AA5FF4BEDF224B658758F4E9A595C344",1)</f>
        <v>=DISPIMG("ID_AA5FF4BEDF224B658758F4E9A595C344",1)</v>
      </c>
      <c r="I89" s="43"/>
    </row>
    <row r="90" s="21" customFormat="1" ht="57.55" spans="1:9">
      <c r="A90" s="27">
        <v>88</v>
      </c>
      <c r="B90" s="63" t="s">
        <v>741</v>
      </c>
      <c r="C90" s="27">
        <v>4</v>
      </c>
      <c r="D90" s="63" t="s">
        <v>710</v>
      </c>
      <c r="E90" s="27" t="s">
        <v>649</v>
      </c>
      <c r="F90" s="27"/>
      <c r="G90" s="27"/>
      <c r="H90" s="27" t="str">
        <f>_xlfn.DISPIMG("ID_E1E068B9AF9A4FC0993E286C593A829C",1)</f>
        <v>=DISPIMG("ID_E1E068B9AF9A4FC0993E286C593A829C",1)</v>
      </c>
      <c r="I90" s="43"/>
    </row>
    <row r="91" s="21" customFormat="1" ht="57.55" spans="1:9">
      <c r="A91" s="27">
        <v>89</v>
      </c>
      <c r="B91" s="63" t="s">
        <v>742</v>
      </c>
      <c r="C91" s="27">
        <v>4</v>
      </c>
      <c r="D91" s="63" t="s">
        <v>710</v>
      </c>
      <c r="E91" s="27" t="s">
        <v>649</v>
      </c>
      <c r="F91" s="27"/>
      <c r="G91" s="27"/>
      <c r="H91" s="27" t="str">
        <f>_xlfn.DISPIMG("ID_A2C407818F934DEEB1D3DC7744ECD358",1)</f>
        <v>=DISPIMG("ID_A2C407818F934DEEB1D3DC7744ECD358",1)</v>
      </c>
      <c r="I91" s="43"/>
    </row>
    <row r="92" s="21" customFormat="1" ht="57.55" spans="1:9">
      <c r="A92" s="27">
        <v>90</v>
      </c>
      <c r="B92" s="63" t="s">
        <v>743</v>
      </c>
      <c r="C92" s="27">
        <v>4</v>
      </c>
      <c r="D92" s="63" t="s">
        <v>710</v>
      </c>
      <c r="E92" s="27" t="s">
        <v>649</v>
      </c>
      <c r="F92" s="27"/>
      <c r="G92" s="27"/>
      <c r="H92" s="27" t="str">
        <f>_xlfn.DISPIMG("ID_6730FB9053124A3182C23536A29AD3AA",1)</f>
        <v>=DISPIMG("ID_6730FB9053124A3182C23536A29AD3AA",1)</v>
      </c>
      <c r="I92" s="43"/>
    </row>
    <row r="93" s="21" customFormat="1" ht="57.55" spans="1:9">
      <c r="A93" s="27">
        <v>91</v>
      </c>
      <c r="B93" s="63" t="s">
        <v>744</v>
      </c>
      <c r="C93" s="27">
        <v>4</v>
      </c>
      <c r="D93" s="63" t="s">
        <v>710</v>
      </c>
      <c r="E93" s="27" t="s">
        <v>649</v>
      </c>
      <c r="F93" s="27"/>
      <c r="G93" s="27"/>
      <c r="H93" s="27" t="str">
        <f>_xlfn.DISPIMG("ID_948245BCBE2E4D2B8C38D4C95EDF7EEB",1)</f>
        <v>=DISPIMG("ID_948245BCBE2E4D2B8C38D4C95EDF7EEB",1)</v>
      </c>
      <c r="I93" s="43"/>
    </row>
    <row r="94" s="21" customFormat="1" ht="57.55" spans="1:9">
      <c r="A94" s="27">
        <v>92</v>
      </c>
      <c r="B94" s="63" t="s">
        <v>745</v>
      </c>
      <c r="C94" s="27">
        <v>4</v>
      </c>
      <c r="D94" s="63" t="s">
        <v>710</v>
      </c>
      <c r="E94" s="27" t="s">
        <v>649</v>
      </c>
      <c r="F94" s="27"/>
      <c r="G94" s="27"/>
      <c r="H94" s="27" t="str">
        <f>_xlfn.DISPIMG("ID_F3FF88D0F80E42CEA46686420EDC0B76",1)</f>
        <v>=DISPIMG("ID_F3FF88D0F80E42CEA46686420EDC0B76",1)</v>
      </c>
      <c r="I94" s="43"/>
    </row>
    <row r="95" s="21" customFormat="1" ht="68.25" spans="1:9">
      <c r="A95" s="27">
        <v>93</v>
      </c>
      <c r="B95" s="63" t="s">
        <v>746</v>
      </c>
      <c r="C95" s="27">
        <v>2</v>
      </c>
      <c r="D95" s="63" t="s">
        <v>747</v>
      </c>
      <c r="E95" s="27" t="s">
        <v>649</v>
      </c>
      <c r="F95" s="27"/>
      <c r="G95" s="27"/>
      <c r="H95" s="27" t="str">
        <f>_xlfn.DISPIMG("ID_8C2949D25386461BAA5B1EA9CB08DA95",1)</f>
        <v>=DISPIMG("ID_8C2949D25386461BAA5B1EA9CB08DA95",1)</v>
      </c>
      <c r="I95" s="43"/>
    </row>
    <row r="96" s="21" customFormat="1" ht="78.8" spans="1:9">
      <c r="A96" s="27">
        <v>94</v>
      </c>
      <c r="B96" s="63" t="s">
        <v>748</v>
      </c>
      <c r="C96" s="27">
        <v>2</v>
      </c>
      <c r="D96" s="63" t="s">
        <v>747</v>
      </c>
      <c r="E96" s="27" t="s">
        <v>649</v>
      </c>
      <c r="F96" s="27"/>
      <c r="G96" s="27"/>
      <c r="H96" s="27" t="str">
        <f>_xlfn.DISPIMG("ID_7A3F6587AEB349C8BC4C914B85BC4BD7",1)</f>
        <v>=DISPIMG("ID_7A3F6587AEB349C8BC4C914B85BC4BD7",1)</v>
      </c>
      <c r="I96" s="43"/>
    </row>
    <row r="97" s="21" customFormat="1" ht="59.5" spans="1:9">
      <c r="A97" s="27">
        <v>95</v>
      </c>
      <c r="B97" s="63" t="s">
        <v>749</v>
      </c>
      <c r="C97" s="27">
        <v>2</v>
      </c>
      <c r="D97" s="63" t="s">
        <v>747</v>
      </c>
      <c r="E97" s="27" t="s">
        <v>649</v>
      </c>
      <c r="F97" s="27"/>
      <c r="G97" s="27"/>
      <c r="H97" s="27" t="str">
        <f>_xlfn.DISPIMG("ID_3F9BA41031C64A83884D4D571D8C3E21",1)</f>
        <v>=DISPIMG("ID_3F9BA41031C64A83884D4D571D8C3E21",1)</v>
      </c>
      <c r="I97" s="43"/>
    </row>
    <row r="98" s="21" customFormat="1" ht="68.65" spans="1:9">
      <c r="A98" s="27">
        <v>96</v>
      </c>
      <c r="B98" s="63" t="s">
        <v>750</v>
      </c>
      <c r="C98" s="27">
        <v>2</v>
      </c>
      <c r="D98" s="63" t="s">
        <v>747</v>
      </c>
      <c r="E98" s="27" t="s">
        <v>649</v>
      </c>
      <c r="F98" s="27"/>
      <c r="G98" s="27"/>
      <c r="H98" s="27" t="str">
        <f>_xlfn.DISPIMG("ID_57BBBE84661C417C8A6872A1048449BD",1)</f>
        <v>=DISPIMG("ID_57BBBE84661C417C8A6872A1048449BD",1)</v>
      </c>
      <c r="I98" s="44"/>
    </row>
    <row r="99" s="21" customFormat="1" ht="87.55" spans="1:9">
      <c r="A99" s="27">
        <v>97</v>
      </c>
      <c r="B99" s="63" t="s">
        <v>751</v>
      </c>
      <c r="C99" s="27">
        <v>1</v>
      </c>
      <c r="D99" s="63" t="s">
        <v>752</v>
      </c>
      <c r="E99" s="27" t="s">
        <v>649</v>
      </c>
      <c r="F99" s="27"/>
      <c r="G99" s="27"/>
      <c r="H99" s="27" t="str">
        <f>_xlfn.DISPIMG("ID_10260397BB4A457B8609790A39A76AF1",1)</f>
        <v>=DISPIMG("ID_10260397BB4A457B8609790A39A76AF1",1)</v>
      </c>
      <c r="I99" s="42" t="s">
        <v>169</v>
      </c>
    </row>
    <row r="100" s="21" customFormat="1" ht="89.8" spans="1:9">
      <c r="A100" s="27">
        <v>98</v>
      </c>
      <c r="B100" s="63" t="s">
        <v>753</v>
      </c>
      <c r="C100" s="27">
        <v>1</v>
      </c>
      <c r="D100" s="63" t="s">
        <v>752</v>
      </c>
      <c r="E100" s="27" t="s">
        <v>649</v>
      </c>
      <c r="F100" s="27"/>
      <c r="G100" s="27"/>
      <c r="H100" s="27" t="str">
        <f>_xlfn.DISPIMG("ID_C14E55694C6449F4A9055837B23C3EEC",1)</f>
        <v>=DISPIMG("ID_C14E55694C6449F4A9055837B23C3EEC",1)</v>
      </c>
      <c r="I100" s="43"/>
    </row>
    <row r="101" s="21" customFormat="1" ht="93.15" spans="1:9">
      <c r="A101" s="27">
        <v>99</v>
      </c>
      <c r="B101" s="63" t="s">
        <v>754</v>
      </c>
      <c r="C101" s="27">
        <v>1</v>
      </c>
      <c r="D101" s="63" t="s">
        <v>752</v>
      </c>
      <c r="E101" s="27" t="s">
        <v>649</v>
      </c>
      <c r="F101" s="27"/>
      <c r="G101" s="27"/>
      <c r="H101" s="27" t="str">
        <f>_xlfn.DISPIMG("ID_6AB62C5BFFC4421E998B4FD87B801EE6",1)</f>
        <v>=DISPIMG("ID_6AB62C5BFFC4421E998B4FD87B801EE6",1)</v>
      </c>
      <c r="I101" s="43"/>
    </row>
    <row r="102" s="21" customFormat="1" ht="75.4" spans="1:9">
      <c r="A102" s="27">
        <v>100</v>
      </c>
      <c r="B102" s="63" t="s">
        <v>755</v>
      </c>
      <c r="C102" s="27">
        <v>1</v>
      </c>
      <c r="D102" s="63" t="s">
        <v>752</v>
      </c>
      <c r="E102" s="27" t="s">
        <v>649</v>
      </c>
      <c r="F102" s="27"/>
      <c r="G102" s="27"/>
      <c r="H102" s="27" t="str">
        <f>_xlfn.DISPIMG("ID_BDB61AD264D0490C83AD0E9108D254A7",1)</f>
        <v>=DISPIMG("ID_BDB61AD264D0490C83AD0E9108D254A7",1)</v>
      </c>
      <c r="I102" s="43"/>
    </row>
    <row r="103" s="21" customFormat="1" ht="81.1" spans="1:9">
      <c r="A103" s="27">
        <v>101</v>
      </c>
      <c r="B103" s="63" t="s">
        <v>756</v>
      </c>
      <c r="C103" s="27">
        <v>1</v>
      </c>
      <c r="D103" s="63" t="s">
        <v>752</v>
      </c>
      <c r="E103" s="27" t="s">
        <v>649</v>
      </c>
      <c r="F103" s="27"/>
      <c r="G103" s="27"/>
      <c r="H103" s="27" t="str">
        <f>_xlfn.DISPIMG("ID_F27F274219B64B82B1921DEC5B9DD511",1)</f>
        <v>=DISPIMG("ID_F27F274219B64B82B1921DEC5B9DD511",1)</v>
      </c>
      <c r="I103" s="43"/>
    </row>
    <row r="104" s="21" customFormat="1" ht="92.2" spans="1:9">
      <c r="A104" s="27">
        <v>102</v>
      </c>
      <c r="B104" s="63" t="s">
        <v>757</v>
      </c>
      <c r="C104" s="27">
        <v>1</v>
      </c>
      <c r="D104" s="63" t="s">
        <v>752</v>
      </c>
      <c r="E104" s="27" t="s">
        <v>649</v>
      </c>
      <c r="F104" s="27"/>
      <c r="G104" s="27"/>
      <c r="H104" s="27" t="str">
        <f>_xlfn.DISPIMG("ID_82F42E8D1DB8464CB0243C808D312024",1)</f>
        <v>=DISPIMG("ID_82F42E8D1DB8464CB0243C808D312024",1)</v>
      </c>
      <c r="I104" s="43"/>
    </row>
    <row r="105" s="21" customFormat="1" ht="85.15" spans="1:9">
      <c r="A105" s="27">
        <v>103</v>
      </c>
      <c r="B105" s="63" t="s">
        <v>758</v>
      </c>
      <c r="C105" s="27">
        <v>1</v>
      </c>
      <c r="D105" s="63" t="s">
        <v>752</v>
      </c>
      <c r="E105" s="27" t="s">
        <v>649</v>
      </c>
      <c r="F105" s="27"/>
      <c r="G105" s="27"/>
      <c r="H105" s="27" t="str">
        <f>_xlfn.DISPIMG("ID_6BCE12136A1444DEB12DC2ACD8EAFBA7",1)</f>
        <v>=DISPIMG("ID_6BCE12136A1444DEB12DC2ACD8EAFBA7",1)</v>
      </c>
      <c r="I105" s="43"/>
    </row>
    <row r="106" s="21" customFormat="1" ht="79.4" spans="1:9">
      <c r="A106" s="27">
        <v>104</v>
      </c>
      <c r="B106" s="63" t="s">
        <v>759</v>
      </c>
      <c r="C106" s="27">
        <v>1</v>
      </c>
      <c r="D106" s="63" t="s">
        <v>752</v>
      </c>
      <c r="E106" s="27" t="s">
        <v>649</v>
      </c>
      <c r="F106" s="27"/>
      <c r="G106" s="27"/>
      <c r="H106" s="27" t="str">
        <f>_xlfn.DISPIMG("ID_C55536F3FAA54167A09555BFCF6782D0",1)</f>
        <v>=DISPIMG("ID_C55536F3FAA54167A09555BFCF6782D0",1)</v>
      </c>
      <c r="I106" s="43"/>
    </row>
    <row r="107" s="21" customFormat="1" ht="91.35" spans="1:9">
      <c r="A107" s="27">
        <v>105</v>
      </c>
      <c r="B107" s="63" t="s">
        <v>760</v>
      </c>
      <c r="C107" s="27">
        <v>1</v>
      </c>
      <c r="D107" s="63" t="s">
        <v>752</v>
      </c>
      <c r="E107" s="27" t="s">
        <v>649</v>
      </c>
      <c r="F107" s="27"/>
      <c r="G107" s="27"/>
      <c r="H107" s="27" t="str">
        <f>_xlfn.DISPIMG("ID_5F98C6D3C4504083BFD73EC0A57F6851",1)</f>
        <v>=DISPIMG("ID_5F98C6D3C4504083BFD73EC0A57F6851",1)</v>
      </c>
      <c r="I107" s="43"/>
    </row>
    <row r="108" s="21" customFormat="1" ht="77.25" spans="1:9">
      <c r="A108" s="27">
        <v>106</v>
      </c>
      <c r="B108" s="63" t="s">
        <v>761</v>
      </c>
      <c r="C108" s="27">
        <v>1</v>
      </c>
      <c r="D108" s="63" t="s">
        <v>752</v>
      </c>
      <c r="E108" s="27" t="s">
        <v>649</v>
      </c>
      <c r="F108" s="27"/>
      <c r="G108" s="27"/>
      <c r="H108" s="27" t="str">
        <f>_xlfn.DISPIMG("ID_AE75ED0176AA48CEB33B35A3148EEB86",1)</f>
        <v>=DISPIMG("ID_AE75ED0176AA48CEB33B35A3148EEB86",1)</v>
      </c>
      <c r="I108" s="43"/>
    </row>
    <row r="109" s="21" customFormat="1" ht="79.8" spans="1:9">
      <c r="A109" s="27">
        <v>107</v>
      </c>
      <c r="B109" s="63" t="s">
        <v>762</v>
      </c>
      <c r="C109" s="27">
        <v>1</v>
      </c>
      <c r="D109" s="63" t="s">
        <v>752</v>
      </c>
      <c r="E109" s="27" t="s">
        <v>649</v>
      </c>
      <c r="F109" s="27"/>
      <c r="G109" s="27"/>
      <c r="H109" s="27" t="str">
        <f>_xlfn.DISPIMG("ID_BC0274BDBA1B4416A5F4ED1559C7AA88",1)</f>
        <v>=DISPIMG("ID_BC0274BDBA1B4416A5F4ED1559C7AA88",1)</v>
      </c>
      <c r="I109" s="43"/>
    </row>
    <row r="110" s="21" customFormat="1" ht="85.3" spans="1:9">
      <c r="A110" s="27">
        <v>108</v>
      </c>
      <c r="B110" s="63" t="s">
        <v>763</v>
      </c>
      <c r="C110" s="27">
        <v>1</v>
      </c>
      <c r="D110" s="63" t="s">
        <v>752</v>
      </c>
      <c r="E110" s="27" t="s">
        <v>649</v>
      </c>
      <c r="F110" s="27"/>
      <c r="G110" s="27"/>
      <c r="H110" s="27" t="str">
        <f>_xlfn.DISPIMG("ID_A5C986A85E0043188BE99D0005E25560",1)</f>
        <v>=DISPIMG("ID_A5C986A85E0043188BE99D0005E25560",1)</v>
      </c>
      <c r="I110" s="43"/>
    </row>
    <row r="111" s="21" customFormat="1" ht="89.85" spans="1:9">
      <c r="A111" s="27">
        <v>109</v>
      </c>
      <c r="B111" s="63" t="s">
        <v>764</v>
      </c>
      <c r="C111" s="27">
        <v>1</v>
      </c>
      <c r="D111" s="63" t="s">
        <v>752</v>
      </c>
      <c r="E111" s="27" t="s">
        <v>649</v>
      </c>
      <c r="F111" s="27"/>
      <c r="G111" s="27"/>
      <c r="H111" s="27" t="str">
        <f>_xlfn.DISPIMG("ID_6204785D408541D6A9B824AB4649F4AC",1)</f>
        <v>=DISPIMG("ID_6204785D408541D6A9B824AB4649F4AC",1)</v>
      </c>
      <c r="I111" s="43"/>
    </row>
    <row r="112" s="21" customFormat="1" ht="75.05" spans="1:9">
      <c r="A112" s="27">
        <v>110</v>
      </c>
      <c r="B112" s="63" t="s">
        <v>765</v>
      </c>
      <c r="C112" s="27">
        <v>1</v>
      </c>
      <c r="D112" s="63" t="s">
        <v>752</v>
      </c>
      <c r="E112" s="27" t="s">
        <v>649</v>
      </c>
      <c r="F112" s="27"/>
      <c r="G112" s="27"/>
      <c r="H112" s="27" t="str">
        <f>_xlfn.DISPIMG("ID_CFF055E0AA094D20B23CD840243A0DC1",1)</f>
        <v>=DISPIMG("ID_CFF055E0AA094D20B23CD840243A0DC1",1)</v>
      </c>
      <c r="I112" s="43"/>
    </row>
    <row r="113" s="21" customFormat="1" ht="94.75" spans="1:9">
      <c r="A113" s="27">
        <v>111</v>
      </c>
      <c r="B113" s="63" t="s">
        <v>766</v>
      </c>
      <c r="C113" s="27">
        <v>1</v>
      </c>
      <c r="D113" s="63" t="s">
        <v>752</v>
      </c>
      <c r="E113" s="27" t="s">
        <v>649</v>
      </c>
      <c r="F113" s="27"/>
      <c r="G113" s="27"/>
      <c r="H113" s="27" t="str">
        <f>_xlfn.DISPIMG("ID_D479B8036366436A8D7667CCE5AF63D5",1)</f>
        <v>=DISPIMG("ID_D479B8036366436A8D7667CCE5AF63D5",1)</v>
      </c>
      <c r="I113" s="43"/>
    </row>
    <row r="114" s="21" customFormat="1" ht="97.3" spans="1:9">
      <c r="A114" s="27">
        <v>112</v>
      </c>
      <c r="B114" s="63" t="s">
        <v>767</v>
      </c>
      <c r="C114" s="27">
        <v>1</v>
      </c>
      <c r="D114" s="63" t="s">
        <v>752</v>
      </c>
      <c r="E114" s="27" t="s">
        <v>649</v>
      </c>
      <c r="F114" s="27"/>
      <c r="G114" s="27"/>
      <c r="H114" s="27" t="str">
        <f>_xlfn.DISPIMG("ID_3DD79233FE364417951225B46E60A9E7",1)</f>
        <v>=DISPIMG("ID_3DD79233FE364417951225B46E60A9E7",1)</v>
      </c>
      <c r="I114" s="43"/>
    </row>
    <row r="115" s="21" customFormat="1" ht="78.3" spans="1:9">
      <c r="A115" s="27">
        <v>113</v>
      </c>
      <c r="B115" s="63" t="s">
        <v>768</v>
      </c>
      <c r="C115" s="27">
        <v>1</v>
      </c>
      <c r="D115" s="63" t="s">
        <v>752</v>
      </c>
      <c r="E115" s="27" t="s">
        <v>649</v>
      </c>
      <c r="F115" s="27"/>
      <c r="G115" s="27"/>
      <c r="H115" s="27" t="str">
        <f>_xlfn.DISPIMG("ID_D66FE0A61B02429B92CEA7A029EFB524",1)</f>
        <v>=DISPIMG("ID_D66FE0A61B02429B92CEA7A029EFB524",1)</v>
      </c>
      <c r="I115" s="43"/>
    </row>
    <row r="116" s="21" customFormat="1" ht="89" spans="1:9">
      <c r="A116" s="27">
        <v>114</v>
      </c>
      <c r="B116" s="63" t="s">
        <v>769</v>
      </c>
      <c r="C116" s="27">
        <v>1</v>
      </c>
      <c r="D116" s="63" t="s">
        <v>752</v>
      </c>
      <c r="E116" s="27" t="s">
        <v>649</v>
      </c>
      <c r="F116" s="27"/>
      <c r="G116" s="27"/>
      <c r="H116" s="27" t="str">
        <f>_xlfn.DISPIMG("ID_EF5A26965C0D402798861E9178DA13D9",1)</f>
        <v>=DISPIMG("ID_EF5A26965C0D402798861E9178DA13D9",1)</v>
      </c>
      <c r="I116" s="44"/>
    </row>
    <row r="117" s="21" customFormat="1" ht="69.6" spans="1:9">
      <c r="A117" s="27">
        <v>115</v>
      </c>
      <c r="B117" s="63" t="s">
        <v>770</v>
      </c>
      <c r="C117" s="27">
        <v>2</v>
      </c>
      <c r="D117" s="63" t="s">
        <v>771</v>
      </c>
      <c r="E117" s="27" t="s">
        <v>649</v>
      </c>
      <c r="F117" s="27"/>
      <c r="G117" s="27"/>
      <c r="H117" s="27" t="str">
        <f>_xlfn.DISPIMG("ID_31A4DA43F20A47AFB0AE187B134BB66E",1)</f>
        <v>=DISPIMG("ID_31A4DA43F20A47AFB0AE187B134BB66E",1)</v>
      </c>
      <c r="I117" s="42" t="s">
        <v>189</v>
      </c>
    </row>
    <row r="118" s="21" customFormat="1" ht="73.05" spans="1:9">
      <c r="A118" s="27">
        <v>116</v>
      </c>
      <c r="B118" s="63" t="s">
        <v>772</v>
      </c>
      <c r="C118" s="27">
        <v>2</v>
      </c>
      <c r="D118" s="63" t="s">
        <v>773</v>
      </c>
      <c r="E118" s="27" t="s">
        <v>649</v>
      </c>
      <c r="F118" s="27"/>
      <c r="G118" s="27"/>
      <c r="H118" s="27" t="str">
        <f>_xlfn.DISPIMG("ID_FC3AB91B98864C29A67EA71E7902B46E",1)</f>
        <v>=DISPIMG("ID_FC3AB91B98864C29A67EA71E7902B46E",1)</v>
      </c>
      <c r="I118" s="44"/>
    </row>
    <row r="119" s="21" customFormat="1" ht="83.5" spans="1:9">
      <c r="A119" s="27">
        <v>117</v>
      </c>
      <c r="B119" s="63" t="s">
        <v>774</v>
      </c>
      <c r="C119" s="27">
        <v>16</v>
      </c>
      <c r="D119" s="63" t="s">
        <v>775</v>
      </c>
      <c r="E119" s="27" t="s">
        <v>649</v>
      </c>
      <c r="F119" s="27"/>
      <c r="G119" s="27"/>
      <c r="H119" s="27" t="str">
        <f>_xlfn.DISPIMG("ID_9D8D86C243E64B588FE39C662E710A96",1)</f>
        <v>=DISPIMG("ID_9D8D86C243E64B588FE39C662E710A96",1)</v>
      </c>
      <c r="I119" s="41" t="s">
        <v>39</v>
      </c>
    </row>
    <row r="120" s="21" customFormat="1" ht="75.6" spans="1:9">
      <c r="A120" s="27">
        <v>118</v>
      </c>
      <c r="B120" s="63" t="s">
        <v>776</v>
      </c>
      <c r="C120" s="27">
        <v>4</v>
      </c>
      <c r="D120" s="63" t="s">
        <v>775</v>
      </c>
      <c r="E120" s="27" t="s">
        <v>649</v>
      </c>
      <c r="F120" s="27"/>
      <c r="G120" s="27"/>
      <c r="H120" s="27" t="str">
        <f>_xlfn.DISPIMG("ID_18A1A29CC08F496495EE71A9F3A2F9AB",1)</f>
        <v>=DISPIMG("ID_18A1A29CC08F496495EE71A9F3A2F9AB",1)</v>
      </c>
      <c r="I120" s="41" t="s">
        <v>169</v>
      </c>
    </row>
    <row r="121" s="21" customFormat="1" ht="68.95" spans="1:9">
      <c r="A121" s="27">
        <v>119</v>
      </c>
      <c r="B121" s="63" t="s">
        <v>64</v>
      </c>
      <c r="C121" s="27">
        <v>8</v>
      </c>
      <c r="D121" s="63" t="s">
        <v>775</v>
      </c>
      <c r="E121" s="27" t="s">
        <v>649</v>
      </c>
      <c r="F121" s="27"/>
      <c r="G121" s="27"/>
      <c r="H121" s="27" t="str">
        <f>_xlfn.DISPIMG("ID_273B89BBA0FD4E1897601CF6668248C4",1)</f>
        <v>=DISPIMG("ID_273B89BBA0FD4E1897601CF6668248C4",1)</v>
      </c>
      <c r="I121" s="41" t="s">
        <v>39</v>
      </c>
    </row>
    <row r="122" s="21" customFormat="1" ht="78.4" spans="1:9">
      <c r="A122" s="27">
        <v>120</v>
      </c>
      <c r="B122" s="63">
        <v>101</v>
      </c>
      <c r="C122" s="27">
        <v>1</v>
      </c>
      <c r="D122" s="63" t="s">
        <v>777</v>
      </c>
      <c r="E122" s="27" t="s">
        <v>649</v>
      </c>
      <c r="F122" s="27"/>
      <c r="G122" s="27"/>
      <c r="H122" s="27" t="str">
        <f>_xlfn.DISPIMG("ID_DFE0FEB4282449A7AC7F3F677C47F24B",1)</f>
        <v>=DISPIMG("ID_DFE0FEB4282449A7AC7F3F677C47F24B",1)</v>
      </c>
      <c r="I122" s="42" t="s">
        <v>169</v>
      </c>
    </row>
    <row r="123" s="21" customFormat="1" ht="78.4" spans="1:9">
      <c r="A123" s="27">
        <v>121</v>
      </c>
      <c r="B123" s="63">
        <v>102</v>
      </c>
      <c r="C123" s="27">
        <v>1</v>
      </c>
      <c r="D123" s="63" t="s">
        <v>777</v>
      </c>
      <c r="E123" s="27" t="s">
        <v>649</v>
      </c>
      <c r="F123" s="27"/>
      <c r="G123" s="27"/>
      <c r="H123" s="27" t="str">
        <f>_xlfn.DISPIMG("ID_1CEC62A6620B42798833CF7AC55745C9",1)</f>
        <v>=DISPIMG("ID_1CEC62A6620B42798833CF7AC55745C9",1)</v>
      </c>
      <c r="I123" s="43"/>
    </row>
    <row r="124" s="21" customFormat="1" ht="78.4" spans="1:9">
      <c r="A124" s="27">
        <v>122</v>
      </c>
      <c r="B124" s="63">
        <v>103</v>
      </c>
      <c r="C124" s="27">
        <v>1</v>
      </c>
      <c r="D124" s="63" t="s">
        <v>777</v>
      </c>
      <c r="E124" s="27" t="s">
        <v>649</v>
      </c>
      <c r="F124" s="27"/>
      <c r="G124" s="27"/>
      <c r="H124" s="27" t="str">
        <f>_xlfn.DISPIMG("ID_BEAD7C1470DB42CC9FBB86CB35697EA6",1)</f>
        <v>=DISPIMG("ID_BEAD7C1470DB42CC9FBB86CB35697EA6",1)</v>
      </c>
      <c r="I124" s="43"/>
    </row>
    <row r="125" s="21" customFormat="1" ht="78.4" spans="1:9">
      <c r="A125" s="27">
        <v>123</v>
      </c>
      <c r="B125" s="63">
        <v>104</v>
      </c>
      <c r="C125" s="27">
        <v>1</v>
      </c>
      <c r="D125" s="63" t="s">
        <v>777</v>
      </c>
      <c r="E125" s="27" t="s">
        <v>649</v>
      </c>
      <c r="F125" s="27"/>
      <c r="G125" s="27"/>
      <c r="H125" s="27" t="str">
        <f>_xlfn.DISPIMG("ID_0E0CF9FCBD2C45E089D9117B47C47A93",1)</f>
        <v>=DISPIMG("ID_0E0CF9FCBD2C45E089D9117B47C47A93",1)</v>
      </c>
      <c r="I125" s="43"/>
    </row>
    <row r="126" s="21" customFormat="1" ht="78.4" spans="1:9">
      <c r="A126" s="27">
        <v>124</v>
      </c>
      <c r="B126" s="63">
        <v>105</v>
      </c>
      <c r="C126" s="27">
        <v>1</v>
      </c>
      <c r="D126" s="63" t="s">
        <v>777</v>
      </c>
      <c r="E126" s="27" t="s">
        <v>649</v>
      </c>
      <c r="F126" s="27"/>
      <c r="G126" s="27"/>
      <c r="H126" s="27" t="str">
        <f>_xlfn.DISPIMG("ID_42D5F0388C5044DD9C9D256BDD8614FC",1)</f>
        <v>=DISPIMG("ID_42D5F0388C5044DD9C9D256BDD8614FC",1)</v>
      </c>
      <c r="I126" s="43"/>
    </row>
    <row r="127" s="21" customFormat="1" ht="78.4" spans="1:9">
      <c r="A127" s="27">
        <v>125</v>
      </c>
      <c r="B127" s="63">
        <v>106</v>
      </c>
      <c r="C127" s="27">
        <v>1</v>
      </c>
      <c r="D127" s="63" t="s">
        <v>777</v>
      </c>
      <c r="E127" s="27" t="s">
        <v>649</v>
      </c>
      <c r="F127" s="27"/>
      <c r="G127" s="27"/>
      <c r="H127" s="27" t="str">
        <f>_xlfn.DISPIMG("ID_585A5908E0E54052ABA703E3BD7F658B",1)</f>
        <v>=DISPIMG("ID_585A5908E0E54052ABA703E3BD7F658B",1)</v>
      </c>
      <c r="I127" s="43"/>
    </row>
    <row r="128" s="21" customFormat="1" ht="78.4" spans="1:9">
      <c r="A128" s="27">
        <v>126</v>
      </c>
      <c r="B128" s="63">
        <v>107</v>
      </c>
      <c r="C128" s="27">
        <v>1</v>
      </c>
      <c r="D128" s="63" t="s">
        <v>777</v>
      </c>
      <c r="E128" s="27" t="s">
        <v>649</v>
      </c>
      <c r="F128" s="27"/>
      <c r="G128" s="27"/>
      <c r="H128" s="27" t="str">
        <f>_xlfn.DISPIMG("ID_D56BC43B8C8F44A7B222611B4995D0E1",1)</f>
        <v>=DISPIMG("ID_D56BC43B8C8F44A7B222611B4995D0E1",1)</v>
      </c>
      <c r="I128" s="43"/>
    </row>
    <row r="129" s="21" customFormat="1" ht="78.4" spans="1:9">
      <c r="A129" s="27">
        <v>127</v>
      </c>
      <c r="B129" s="63">
        <v>108</v>
      </c>
      <c r="C129" s="27">
        <v>1</v>
      </c>
      <c r="D129" s="63" t="s">
        <v>777</v>
      </c>
      <c r="E129" s="27" t="s">
        <v>649</v>
      </c>
      <c r="F129" s="27"/>
      <c r="G129" s="27"/>
      <c r="H129" s="27" t="str">
        <f>_xlfn.DISPIMG("ID_138622F4557F44DABC4896166629A80F",1)</f>
        <v>=DISPIMG("ID_138622F4557F44DABC4896166629A80F",1)</v>
      </c>
      <c r="I129" s="43"/>
    </row>
    <row r="130" s="21" customFormat="1" ht="78.4" spans="1:9">
      <c r="A130" s="27">
        <v>128</v>
      </c>
      <c r="B130" s="63">
        <v>109</v>
      </c>
      <c r="C130" s="27">
        <v>1</v>
      </c>
      <c r="D130" s="63" t="s">
        <v>777</v>
      </c>
      <c r="E130" s="27" t="s">
        <v>649</v>
      </c>
      <c r="F130" s="27"/>
      <c r="G130" s="27"/>
      <c r="H130" s="27" t="str">
        <f>_xlfn.DISPIMG("ID_A0AF16B77DA341E08D2AD325F742E57D",1)</f>
        <v>=DISPIMG("ID_A0AF16B77DA341E08D2AD325F742E57D",1)</v>
      </c>
      <c r="I130" s="43"/>
    </row>
    <row r="131" s="21" customFormat="1" ht="78.4" spans="1:9">
      <c r="A131" s="27">
        <v>129</v>
      </c>
      <c r="B131" s="63">
        <v>110</v>
      </c>
      <c r="C131" s="27">
        <v>1</v>
      </c>
      <c r="D131" s="63" t="s">
        <v>777</v>
      </c>
      <c r="E131" s="27" t="s">
        <v>649</v>
      </c>
      <c r="F131" s="27"/>
      <c r="G131" s="27"/>
      <c r="H131" s="27" t="str">
        <f>_xlfn.DISPIMG("ID_EBDDD1C7F46940A992195BC0A868D6BB",1)</f>
        <v>=DISPIMG("ID_EBDDD1C7F46940A992195BC0A868D6BB",1)</v>
      </c>
      <c r="I131" s="43"/>
    </row>
    <row r="132" s="21" customFormat="1" ht="78.4" spans="1:9">
      <c r="A132" s="27">
        <v>130</v>
      </c>
      <c r="B132" s="63">
        <v>111</v>
      </c>
      <c r="C132" s="27">
        <v>1</v>
      </c>
      <c r="D132" s="63" t="s">
        <v>777</v>
      </c>
      <c r="E132" s="27" t="s">
        <v>649</v>
      </c>
      <c r="F132" s="27"/>
      <c r="G132" s="27"/>
      <c r="H132" s="27" t="str">
        <f>_xlfn.DISPIMG("ID_611DCD1A80B1431C98AB77985701E95B",1)</f>
        <v>=DISPIMG("ID_611DCD1A80B1431C98AB77985701E95B",1)</v>
      </c>
      <c r="I132" s="43"/>
    </row>
    <row r="133" s="21" customFormat="1" ht="78.4" spans="1:9">
      <c r="A133" s="27">
        <v>131</v>
      </c>
      <c r="B133" s="63">
        <v>201</v>
      </c>
      <c r="C133" s="27">
        <v>1</v>
      </c>
      <c r="D133" s="63" t="s">
        <v>777</v>
      </c>
      <c r="E133" s="27" t="s">
        <v>649</v>
      </c>
      <c r="F133" s="27"/>
      <c r="G133" s="27"/>
      <c r="H133" s="27" t="str">
        <f>_xlfn.DISPIMG("ID_679DDD6F1229443185CDC7F971EE254B",1)</f>
        <v>=DISPIMG("ID_679DDD6F1229443185CDC7F971EE254B",1)</v>
      </c>
      <c r="I133" s="43"/>
    </row>
    <row r="134" s="21" customFormat="1" ht="78.4" spans="1:9">
      <c r="A134" s="27">
        <v>132</v>
      </c>
      <c r="B134" s="63">
        <v>202</v>
      </c>
      <c r="C134" s="27">
        <v>1</v>
      </c>
      <c r="D134" s="63" t="s">
        <v>777</v>
      </c>
      <c r="E134" s="27" t="s">
        <v>649</v>
      </c>
      <c r="F134" s="27"/>
      <c r="G134" s="27"/>
      <c r="H134" s="27" t="str">
        <f>_xlfn.DISPIMG("ID_45007752E5974E3EA7C74115EC99971C",1)</f>
        <v>=DISPIMG("ID_45007752E5974E3EA7C74115EC99971C",1)</v>
      </c>
      <c r="I134" s="43"/>
    </row>
    <row r="135" s="21" customFormat="1" ht="78.4" spans="1:9">
      <c r="A135" s="27">
        <v>133</v>
      </c>
      <c r="B135" s="63">
        <v>203</v>
      </c>
      <c r="C135" s="27">
        <v>1</v>
      </c>
      <c r="D135" s="63" t="s">
        <v>777</v>
      </c>
      <c r="E135" s="27" t="s">
        <v>649</v>
      </c>
      <c r="F135" s="27"/>
      <c r="G135" s="27"/>
      <c r="H135" s="27" t="str">
        <f>_xlfn.DISPIMG("ID_2C361ED2F89941A68EB36C3447CBC83A",1)</f>
        <v>=DISPIMG("ID_2C361ED2F89941A68EB36C3447CBC83A",1)</v>
      </c>
      <c r="I135" s="43"/>
    </row>
    <row r="136" s="21" customFormat="1" ht="78.4" spans="1:9">
      <c r="A136" s="27">
        <v>134</v>
      </c>
      <c r="B136" s="63">
        <v>204</v>
      </c>
      <c r="C136" s="27">
        <v>1</v>
      </c>
      <c r="D136" s="63" t="s">
        <v>777</v>
      </c>
      <c r="E136" s="27" t="s">
        <v>649</v>
      </c>
      <c r="F136" s="27"/>
      <c r="G136" s="27"/>
      <c r="H136" s="27" t="str">
        <f>_xlfn.DISPIMG("ID_B5595AE3B8D24422945191CE04FB1F17",1)</f>
        <v>=DISPIMG("ID_B5595AE3B8D24422945191CE04FB1F17",1)</v>
      </c>
      <c r="I136" s="43"/>
    </row>
    <row r="137" s="21" customFormat="1" ht="78.4" spans="1:9">
      <c r="A137" s="27">
        <v>135</v>
      </c>
      <c r="B137" s="63">
        <v>205</v>
      </c>
      <c r="C137" s="27">
        <v>1</v>
      </c>
      <c r="D137" s="63" t="s">
        <v>777</v>
      </c>
      <c r="E137" s="27" t="s">
        <v>649</v>
      </c>
      <c r="F137" s="27"/>
      <c r="G137" s="27"/>
      <c r="H137" s="27" t="str">
        <f>_xlfn.DISPIMG("ID_BDBA6164CA104E5897B782039DBCEBFF",1)</f>
        <v>=DISPIMG("ID_BDBA6164CA104E5897B782039DBCEBFF",1)</v>
      </c>
      <c r="I137" s="43"/>
    </row>
    <row r="138" s="21" customFormat="1" ht="78.4" spans="1:9">
      <c r="A138" s="27">
        <v>136</v>
      </c>
      <c r="B138" s="63">
        <v>206</v>
      </c>
      <c r="C138" s="27">
        <v>1</v>
      </c>
      <c r="D138" s="63" t="s">
        <v>777</v>
      </c>
      <c r="E138" s="27" t="s">
        <v>649</v>
      </c>
      <c r="F138" s="27"/>
      <c r="G138" s="27"/>
      <c r="H138" s="27" t="str">
        <f>_xlfn.DISPIMG("ID_9CE6C8962B8E42BFB42BA0A2AEE28555",1)</f>
        <v>=DISPIMG("ID_9CE6C8962B8E42BFB42BA0A2AEE28555",1)</v>
      </c>
      <c r="I138" s="43"/>
    </row>
    <row r="139" s="21" customFormat="1" ht="78.4" spans="1:9">
      <c r="A139" s="27">
        <v>137</v>
      </c>
      <c r="B139" s="63">
        <v>207</v>
      </c>
      <c r="C139" s="27">
        <v>1</v>
      </c>
      <c r="D139" s="63" t="s">
        <v>777</v>
      </c>
      <c r="E139" s="27" t="s">
        <v>649</v>
      </c>
      <c r="F139" s="27"/>
      <c r="G139" s="27"/>
      <c r="H139" s="27" t="str">
        <f>_xlfn.DISPIMG("ID_914DA7C0989A4BD19CA7095DFAFA10F2",1)</f>
        <v>=DISPIMG("ID_914DA7C0989A4BD19CA7095DFAFA10F2",1)</v>
      </c>
      <c r="I139" s="43"/>
    </row>
    <row r="140" s="21" customFormat="1" ht="78.4" spans="1:9">
      <c r="A140" s="27">
        <v>138</v>
      </c>
      <c r="B140" s="63">
        <v>208</v>
      </c>
      <c r="C140" s="27">
        <v>1</v>
      </c>
      <c r="D140" s="63" t="s">
        <v>777</v>
      </c>
      <c r="E140" s="27" t="s">
        <v>649</v>
      </c>
      <c r="F140" s="27"/>
      <c r="G140" s="27"/>
      <c r="H140" s="27" t="str">
        <f>_xlfn.DISPIMG("ID_E9B29721B51E455FA671C47607420DAD",1)</f>
        <v>=DISPIMG("ID_E9B29721B51E455FA671C47607420DAD",1)</v>
      </c>
      <c r="I140" s="44"/>
    </row>
    <row r="141" s="21" customFormat="1" ht="86.15" spans="1:9">
      <c r="A141" s="27">
        <v>139</v>
      </c>
      <c r="B141" s="63" t="s">
        <v>778</v>
      </c>
      <c r="C141" s="27">
        <v>1</v>
      </c>
      <c r="D141" s="63" t="s">
        <v>681</v>
      </c>
      <c r="E141" s="27" t="s">
        <v>649</v>
      </c>
      <c r="F141" s="27"/>
      <c r="G141" s="27"/>
      <c r="H141" s="27" t="str">
        <f>_xlfn.DISPIMG("ID_C1216400294D4D7BB9AE229ADED6DC96",1)</f>
        <v>=DISPIMG("ID_C1216400294D4D7BB9AE229ADED6DC96",1)</v>
      </c>
      <c r="I141" s="42" t="s">
        <v>711</v>
      </c>
    </row>
    <row r="142" s="21" customFormat="1" ht="73.7" spans="1:9">
      <c r="A142" s="27">
        <v>140</v>
      </c>
      <c r="B142" s="63" t="s">
        <v>779</v>
      </c>
      <c r="C142" s="27">
        <v>10</v>
      </c>
      <c r="D142" s="63" t="s">
        <v>780</v>
      </c>
      <c r="E142" s="27" t="s">
        <v>649</v>
      </c>
      <c r="F142" s="27"/>
      <c r="G142" s="27"/>
      <c r="H142" s="69" t="str">
        <f>_xlfn.DISPIMG("ID_389680A0F24E446CBD283CEF09E87C28",1)</f>
        <v>=DISPIMG("ID_389680A0F24E446CBD283CEF09E87C28",1)</v>
      </c>
      <c r="I142" s="43"/>
    </row>
    <row r="143" s="21" customFormat="1" ht="66" customHeight="1" spans="1:9">
      <c r="A143" s="27">
        <v>141</v>
      </c>
      <c r="B143" s="27" t="s">
        <v>781</v>
      </c>
      <c r="C143" s="27">
        <v>1</v>
      </c>
      <c r="D143" s="27" t="s">
        <v>782</v>
      </c>
      <c r="E143" s="27" t="s">
        <v>643</v>
      </c>
      <c r="F143" s="27"/>
      <c r="G143" s="27"/>
      <c r="H143" s="27" t="str">
        <f>_xlfn.DISPIMG("ID_8FA7C3AB05074C0494182785B035AB97",1)</f>
        <v>=DISPIMG("ID_8FA7C3AB05074C0494182785B035AB97",1)</v>
      </c>
      <c r="I143" s="44"/>
    </row>
    <row r="144" s="21" customFormat="1" ht="70" customHeight="1" spans="1:9">
      <c r="A144" s="27">
        <v>142</v>
      </c>
      <c r="B144" s="27" t="s">
        <v>59</v>
      </c>
      <c r="C144" s="27">
        <v>2</v>
      </c>
      <c r="D144" s="27" t="s">
        <v>667</v>
      </c>
      <c r="E144" s="27" t="s">
        <v>666</v>
      </c>
      <c r="F144" s="27"/>
      <c r="G144" s="27"/>
      <c r="H144" s="27" t="str">
        <f>_xlfn.DISPIMG("ID_CD6735A6762E4843A947EA13307E3882",1)</f>
        <v>=DISPIMG("ID_CD6735A6762E4843A947EA13307E3882",1)</v>
      </c>
      <c r="I144" s="41" t="s">
        <v>61</v>
      </c>
    </row>
    <row r="145" s="21" customFormat="1" ht="25" customHeight="1" spans="1:9">
      <c r="A145" s="26" t="s">
        <v>86</v>
      </c>
      <c r="B145" s="70"/>
      <c r="C145" s="71"/>
      <c r="D145" s="71"/>
      <c r="E145" s="71"/>
      <c r="F145" s="71"/>
      <c r="G145" s="71"/>
      <c r="H145" s="71"/>
      <c r="I145" s="45"/>
    </row>
    <row r="146" s="21" customFormat="1" spans="1:9">
      <c r="A146" s="37"/>
      <c r="B146" s="72"/>
      <c r="C146" s="37"/>
      <c r="D146" s="72"/>
      <c r="E146" s="37"/>
      <c r="F146" s="37"/>
      <c r="G146" s="37"/>
      <c r="H146" s="38"/>
      <c r="I146" s="23"/>
    </row>
    <row r="147" s="21" customFormat="1" spans="1:9">
      <c r="A147" s="37"/>
      <c r="B147" s="72"/>
      <c r="C147" s="37"/>
      <c r="D147" s="72"/>
      <c r="E147" s="37"/>
      <c r="F147" s="37"/>
      <c r="G147" s="37"/>
      <c r="H147" s="38"/>
      <c r="I147" s="23"/>
    </row>
    <row r="148" s="21" customFormat="1" spans="1:9">
      <c r="A148" s="37"/>
      <c r="B148" s="72"/>
      <c r="C148" s="37"/>
      <c r="D148" s="72"/>
      <c r="E148" s="37"/>
      <c r="F148" s="37"/>
      <c r="G148" s="37"/>
      <c r="H148" s="38"/>
      <c r="I148" s="23"/>
    </row>
    <row r="149" s="21" customFormat="1" spans="1:9">
      <c r="A149" s="37"/>
      <c r="B149" s="72"/>
      <c r="C149" s="37"/>
      <c r="D149" s="72"/>
      <c r="E149" s="37"/>
      <c r="F149" s="37"/>
      <c r="G149" s="37"/>
      <c r="H149" s="38"/>
      <c r="I149" s="23"/>
    </row>
    <row r="150" s="21" customFormat="1" spans="1:9">
      <c r="A150" s="37"/>
      <c r="B150" s="72"/>
      <c r="C150" s="37"/>
      <c r="D150" s="72"/>
      <c r="E150" s="37"/>
      <c r="F150" s="37"/>
      <c r="G150" s="37"/>
      <c r="H150" s="38"/>
      <c r="I150" s="23"/>
    </row>
    <row r="151" s="21" customFormat="1" spans="1:9">
      <c r="A151" s="37"/>
      <c r="B151" s="72"/>
      <c r="C151" s="37"/>
      <c r="D151" s="72"/>
      <c r="E151" s="37"/>
      <c r="F151" s="37"/>
      <c r="G151" s="37"/>
      <c r="H151" s="38"/>
      <c r="I151" s="23"/>
    </row>
    <row r="152" s="21" customFormat="1" spans="1:9">
      <c r="A152" s="37"/>
      <c r="B152" s="72"/>
      <c r="C152" s="37"/>
      <c r="D152" s="72"/>
      <c r="E152" s="37"/>
      <c r="F152" s="37"/>
      <c r="G152" s="37"/>
      <c r="H152" s="38"/>
      <c r="I152" s="23"/>
    </row>
    <row r="153" s="21" customFormat="1" spans="1:9">
      <c r="A153" s="37"/>
      <c r="B153" s="72"/>
      <c r="C153" s="37"/>
      <c r="D153" s="72"/>
      <c r="E153" s="37"/>
      <c r="F153" s="37"/>
      <c r="G153" s="37"/>
      <c r="H153" s="38"/>
      <c r="I153" s="23"/>
    </row>
    <row r="154" s="21" customFormat="1" spans="1:9">
      <c r="A154" s="37"/>
      <c r="B154" s="72"/>
      <c r="C154" s="37"/>
      <c r="D154" s="72"/>
      <c r="E154" s="37"/>
      <c r="F154" s="37"/>
      <c r="G154" s="37"/>
      <c r="H154" s="38"/>
      <c r="I154" s="23"/>
    </row>
    <row r="155" s="21" customFormat="1" spans="1:9">
      <c r="A155" s="37"/>
      <c r="B155" s="72"/>
      <c r="C155" s="37"/>
      <c r="D155" s="72"/>
      <c r="E155" s="37"/>
      <c r="F155" s="37"/>
      <c r="G155" s="37"/>
      <c r="H155" s="38"/>
      <c r="I155" s="23"/>
    </row>
    <row r="156" s="21" customFormat="1" spans="1:9">
      <c r="A156" s="37"/>
      <c r="B156" s="72"/>
      <c r="C156" s="37"/>
      <c r="D156" s="72"/>
      <c r="E156" s="37"/>
      <c r="F156" s="37"/>
      <c r="G156" s="37"/>
      <c r="H156" s="38"/>
      <c r="I156" s="23"/>
    </row>
    <row r="157" s="21" customFormat="1" spans="1:9">
      <c r="A157" s="37"/>
      <c r="B157" s="72"/>
      <c r="C157" s="37"/>
      <c r="D157" s="72"/>
      <c r="E157" s="37"/>
      <c r="F157" s="37"/>
      <c r="G157" s="37"/>
      <c r="H157" s="38"/>
      <c r="I157" s="23"/>
    </row>
    <row r="158" s="21" customFormat="1" spans="1:9">
      <c r="A158" s="37"/>
      <c r="B158" s="72"/>
      <c r="C158" s="37"/>
      <c r="D158" s="72"/>
      <c r="E158" s="37"/>
      <c r="F158" s="37"/>
      <c r="G158" s="37"/>
      <c r="H158" s="38"/>
      <c r="I158" s="23"/>
    </row>
    <row r="159" s="21" customFormat="1" spans="1:9">
      <c r="A159" s="37"/>
      <c r="B159" s="72"/>
      <c r="C159" s="37"/>
      <c r="D159" s="72"/>
      <c r="E159" s="37"/>
      <c r="F159" s="37"/>
      <c r="G159" s="37"/>
      <c r="H159" s="38"/>
      <c r="I159" s="23"/>
    </row>
    <row r="160" s="21" customFormat="1" spans="1:9">
      <c r="A160" s="37"/>
      <c r="B160" s="72"/>
      <c r="C160" s="37"/>
      <c r="D160" s="72"/>
      <c r="E160" s="37"/>
      <c r="F160" s="37"/>
      <c r="G160" s="37"/>
      <c r="H160" s="38"/>
      <c r="I160" s="23"/>
    </row>
    <row r="161" s="21" customFormat="1" spans="1:9">
      <c r="A161" s="37"/>
      <c r="B161" s="72"/>
      <c r="C161" s="37"/>
      <c r="D161" s="72"/>
      <c r="E161" s="37"/>
      <c r="F161" s="37"/>
      <c r="G161" s="37"/>
      <c r="H161" s="38"/>
      <c r="I161" s="23"/>
    </row>
    <row r="162" s="21" customFormat="1" spans="1:9">
      <c r="A162" s="37"/>
      <c r="B162" s="72"/>
      <c r="C162" s="37"/>
      <c r="D162" s="72"/>
      <c r="E162" s="37"/>
      <c r="F162" s="37"/>
      <c r="G162" s="37"/>
      <c r="H162" s="38"/>
      <c r="I162" s="23"/>
    </row>
    <row r="163" s="21" customFormat="1" spans="1:9">
      <c r="A163" s="37"/>
      <c r="B163" s="72"/>
      <c r="C163" s="37"/>
      <c r="D163" s="72"/>
      <c r="E163" s="37"/>
      <c r="F163" s="37"/>
      <c r="G163" s="37"/>
      <c r="H163" s="38"/>
      <c r="I163" s="23"/>
    </row>
    <row r="164" s="21" customFormat="1" spans="1:9">
      <c r="A164" s="37"/>
      <c r="B164" s="72"/>
      <c r="C164" s="37"/>
      <c r="D164" s="72"/>
      <c r="E164" s="37"/>
      <c r="F164" s="37"/>
      <c r="G164" s="37"/>
      <c r="H164" s="38"/>
      <c r="I164" s="23"/>
    </row>
    <row r="165" s="21" customFormat="1" spans="1:9">
      <c r="A165" s="37"/>
      <c r="B165" s="72"/>
      <c r="C165" s="37"/>
      <c r="D165" s="72"/>
      <c r="E165" s="37"/>
      <c r="F165" s="37"/>
      <c r="G165" s="37"/>
      <c r="H165" s="38"/>
      <c r="I165" s="23"/>
    </row>
    <row r="166" s="21" customFormat="1" spans="1:9">
      <c r="A166" s="22"/>
      <c r="B166" s="73"/>
      <c r="C166" s="22"/>
      <c r="D166" s="73"/>
      <c r="E166" s="22"/>
      <c r="F166" s="22"/>
      <c r="G166" s="22"/>
      <c r="I166" s="23"/>
    </row>
    <row r="167" s="21" customFormat="1" spans="1:9">
      <c r="A167" s="22"/>
      <c r="B167" s="73"/>
      <c r="C167" s="22"/>
      <c r="D167" s="73"/>
      <c r="E167" s="22"/>
      <c r="F167" s="22"/>
      <c r="G167" s="22"/>
      <c r="I167" s="23"/>
    </row>
    <row r="168" s="21" customFormat="1" spans="1:9">
      <c r="A168" s="22"/>
      <c r="B168" s="73"/>
      <c r="C168" s="22"/>
      <c r="D168" s="73"/>
      <c r="E168" s="22"/>
      <c r="F168" s="22"/>
      <c r="G168" s="22"/>
      <c r="I168" s="23"/>
    </row>
    <row r="169" s="21" customFormat="1" spans="1:9">
      <c r="A169" s="22"/>
      <c r="B169" s="73"/>
      <c r="C169" s="22"/>
      <c r="D169" s="73"/>
      <c r="E169" s="22"/>
      <c r="F169" s="22"/>
      <c r="G169" s="22"/>
      <c r="I169" s="23"/>
    </row>
    <row r="170" s="21" customFormat="1" spans="1:9">
      <c r="A170" s="22"/>
      <c r="B170" s="73"/>
      <c r="C170" s="22"/>
      <c r="D170" s="73"/>
      <c r="E170" s="22"/>
      <c r="F170" s="22"/>
      <c r="G170" s="22"/>
      <c r="I170" s="23"/>
    </row>
    <row r="171" s="21" customFormat="1" spans="1:9">
      <c r="A171" s="22"/>
      <c r="B171" s="73"/>
      <c r="C171" s="22"/>
      <c r="D171" s="73"/>
      <c r="E171" s="22"/>
      <c r="F171" s="22"/>
      <c r="G171" s="22"/>
      <c r="I171" s="23"/>
    </row>
    <row r="172" s="21" customFormat="1" spans="1:9">
      <c r="A172" s="22"/>
      <c r="B172" s="73"/>
      <c r="C172" s="22"/>
      <c r="D172" s="73"/>
      <c r="E172" s="22"/>
      <c r="F172" s="22"/>
      <c r="G172" s="22"/>
      <c r="I172" s="23"/>
    </row>
    <row r="173" s="21" customFormat="1" spans="1:9">
      <c r="A173" s="22"/>
      <c r="B173" s="73"/>
      <c r="C173" s="22"/>
      <c r="D173" s="73"/>
      <c r="E173" s="22"/>
      <c r="F173" s="22"/>
      <c r="G173" s="22"/>
      <c r="I173" s="23"/>
    </row>
    <row r="174" s="21" customFormat="1" spans="1:9">
      <c r="A174" s="22"/>
      <c r="B174" s="73"/>
      <c r="C174" s="22"/>
      <c r="D174" s="73"/>
      <c r="E174" s="22"/>
      <c r="F174" s="22"/>
      <c r="G174" s="22"/>
      <c r="I174" s="23"/>
    </row>
    <row r="175" s="21" customFormat="1" spans="1:9">
      <c r="A175" s="22"/>
      <c r="B175" s="73"/>
      <c r="C175" s="22"/>
      <c r="D175" s="73"/>
      <c r="E175" s="22"/>
      <c r="F175" s="22"/>
      <c r="G175" s="22"/>
      <c r="I175" s="23"/>
    </row>
    <row r="176" s="21" customFormat="1" spans="1:9">
      <c r="A176" s="22"/>
      <c r="B176" s="73"/>
      <c r="C176" s="22"/>
      <c r="D176" s="73"/>
      <c r="E176" s="22"/>
      <c r="F176" s="22"/>
      <c r="G176" s="22"/>
      <c r="I176" s="23"/>
    </row>
  </sheetData>
  <mergeCells count="9">
    <mergeCell ref="A1:I1"/>
    <mergeCell ref="B145:I145"/>
    <mergeCell ref="I3:I38"/>
    <mergeCell ref="I39:I59"/>
    <mergeCell ref="I60:I98"/>
    <mergeCell ref="I99:I116"/>
    <mergeCell ref="I117:I118"/>
    <mergeCell ref="I122:I140"/>
    <mergeCell ref="I141:I143"/>
  </mergeCells>
  <pageMargins left="0.75" right="0.75" top="1" bottom="1" header="0.5" footer="0.5"/>
  <headerFooter/>
  <drawing r:id="rId1"/>
  <legacyDrawing r:id="rId2"/>
  <oleObjects>
    <mc:AlternateContent xmlns:mc="http://schemas.openxmlformats.org/markup-compatibility/2006">
      <mc:Choice Requires="x14">
        <oleObject shapeId="7169" progId="StaticMetafile" r:id="rId3">
          <objectPr defaultSize="0" r:id="rId4">
            <anchor moveWithCells="1" sizeWithCells="1">
              <from>
                <xdr:col>8</xdr:col>
                <xdr:colOff>2540</xdr:colOff>
                <xdr:row>39</xdr:row>
                <xdr:rowOff>1181735</xdr:rowOff>
              </from>
              <to>
                <xdr:col>8</xdr:col>
                <xdr:colOff>1118235</xdr:colOff>
                <xdr:row>41</xdr:row>
                <xdr:rowOff>217805</xdr:rowOff>
              </to>
            </anchor>
          </objectPr>
        </oleObject>
      </mc:Choice>
      <mc:Fallback>
        <oleObject shapeId="7169" progId="StaticMetafile" r:id="rId3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workbookViewId="0">
      <selection activeCell="A1" sqref="A1:I1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2" customWidth="1"/>
    <col min="8" max="8" width="26.8761061946903" style="21" customWidth="1"/>
    <col min="9" max="9" width="16.3805309734513" style="21" customWidth="1"/>
    <col min="10" max="16384" width="9" style="21"/>
  </cols>
  <sheetData>
    <row r="1" s="21" customFormat="1" ht="31" customHeight="1" spans="1:9">
      <c r="A1" s="47" t="s">
        <v>783</v>
      </c>
      <c r="B1" s="25"/>
      <c r="C1" s="25"/>
      <c r="D1" s="25"/>
      <c r="E1" s="25"/>
      <c r="F1" s="25"/>
      <c r="G1" s="25"/>
      <c r="H1" s="25"/>
      <c r="I1" s="25"/>
    </row>
    <row r="2" s="21" customFormat="1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26" t="s">
        <v>31</v>
      </c>
    </row>
    <row r="3" s="21" customFormat="1" ht="84" customHeight="1" spans="1:9">
      <c r="A3" s="27">
        <v>1</v>
      </c>
      <c r="B3" s="27" t="s">
        <v>156</v>
      </c>
      <c r="C3" s="27">
        <v>3</v>
      </c>
      <c r="D3" s="27" t="s">
        <v>784</v>
      </c>
      <c r="E3" s="63" t="s">
        <v>785</v>
      </c>
      <c r="F3" s="27"/>
      <c r="G3" s="27"/>
      <c r="H3" s="30" t="str">
        <f>_xlfn.DISPIMG("ID_9D95D9FEA208473D8FE64411434AB798",1)</f>
        <v>=DISPIMG("ID_9D95D9FEA208473D8FE64411434AB798",1)</v>
      </c>
      <c r="I3" s="41" t="s">
        <v>786</v>
      </c>
    </row>
    <row r="4" s="21" customFormat="1" ht="25" customHeight="1" spans="1:9">
      <c r="A4" s="26" t="s">
        <v>86</v>
      </c>
      <c r="B4" s="35"/>
      <c r="C4" s="36"/>
      <c r="D4" s="36"/>
      <c r="E4" s="36"/>
      <c r="F4" s="36"/>
      <c r="G4" s="36"/>
      <c r="H4" s="36"/>
      <c r="I4" s="68"/>
    </row>
    <row r="5" s="21" customFormat="1" spans="1:8">
      <c r="A5" s="37"/>
      <c r="B5" s="37"/>
      <c r="C5" s="37"/>
      <c r="D5" s="37"/>
      <c r="E5" s="37"/>
      <c r="F5" s="37"/>
      <c r="G5" s="37"/>
      <c r="H5" s="38"/>
    </row>
    <row r="6" s="21" customFormat="1" spans="1:8">
      <c r="A6" s="37"/>
      <c r="B6" s="37"/>
      <c r="C6" s="37"/>
      <c r="D6" s="37"/>
      <c r="E6" s="37"/>
      <c r="F6" s="37"/>
      <c r="G6" s="37"/>
      <c r="H6" s="38"/>
    </row>
    <row r="7" s="21" customFormat="1" spans="1:8">
      <c r="A7" s="37"/>
      <c r="B7" s="37"/>
      <c r="C7" s="37"/>
      <c r="D7" s="37"/>
      <c r="E7" s="37"/>
      <c r="F7" s="37"/>
      <c r="G7" s="37"/>
      <c r="H7" s="38"/>
    </row>
    <row r="8" s="21" customFormat="1" spans="1:8">
      <c r="A8" s="37"/>
      <c r="B8" s="37"/>
      <c r="C8" s="37"/>
      <c r="D8" s="37"/>
      <c r="E8" s="37"/>
      <c r="F8" s="37"/>
      <c r="G8" s="37"/>
      <c r="H8" s="38"/>
    </row>
    <row r="9" s="21" customFormat="1" spans="1:8">
      <c r="A9" s="37"/>
      <c r="B9" s="37"/>
      <c r="C9" s="37"/>
      <c r="D9" s="37"/>
      <c r="E9" s="37"/>
      <c r="F9" s="37"/>
      <c r="G9" s="37"/>
      <c r="H9" s="38"/>
    </row>
    <row r="10" s="21" customFormat="1" spans="1:8">
      <c r="A10" s="37"/>
      <c r="B10" s="37"/>
      <c r="C10" s="37"/>
      <c r="D10" s="37"/>
      <c r="E10" s="37"/>
      <c r="F10" s="37"/>
      <c r="G10" s="37"/>
      <c r="H10" s="38"/>
    </row>
    <row r="11" s="21" customFormat="1" spans="1:8">
      <c r="A11" s="37"/>
      <c r="B11" s="37"/>
      <c r="C11" s="37"/>
      <c r="D11" s="37"/>
      <c r="E11" s="37"/>
      <c r="F11" s="37"/>
      <c r="G11" s="37"/>
      <c r="H11" s="38"/>
    </row>
    <row r="12" s="21" customFormat="1" spans="1:8">
      <c r="A12" s="37"/>
      <c r="B12" s="37"/>
      <c r="C12" s="37"/>
      <c r="D12" s="37"/>
      <c r="E12" s="37"/>
      <c r="F12" s="37"/>
      <c r="G12" s="37"/>
      <c r="H12" s="38"/>
    </row>
    <row r="13" s="21" customFormat="1" spans="1:8">
      <c r="A13" s="37"/>
      <c r="B13" s="37"/>
      <c r="C13" s="37"/>
      <c r="D13" s="37"/>
      <c r="E13" s="37"/>
      <c r="F13" s="37"/>
      <c r="G13" s="37"/>
      <c r="H13" s="38"/>
    </row>
    <row r="14" s="21" customFormat="1" spans="1:8">
      <c r="A14" s="37"/>
      <c r="B14" s="37"/>
      <c r="C14" s="37"/>
      <c r="D14" s="37"/>
      <c r="E14" s="37"/>
      <c r="F14" s="37"/>
      <c r="G14" s="37"/>
      <c r="H14" s="38"/>
    </row>
    <row r="15" s="21" customFormat="1" spans="1:8">
      <c r="A15" s="37"/>
      <c r="B15" s="37"/>
      <c r="C15" s="37"/>
      <c r="D15" s="37"/>
      <c r="E15" s="37"/>
      <c r="F15" s="37"/>
      <c r="G15" s="37"/>
      <c r="H15" s="38"/>
    </row>
    <row r="16" s="21" customFormat="1" spans="1:8">
      <c r="A16" s="37"/>
      <c r="B16" s="37"/>
      <c r="C16" s="37"/>
      <c r="D16" s="37"/>
      <c r="E16" s="37"/>
      <c r="F16" s="37"/>
      <c r="G16" s="37"/>
      <c r="H16" s="38"/>
    </row>
    <row r="17" s="21" customFormat="1" spans="1:8">
      <c r="A17" s="37"/>
      <c r="B17" s="37"/>
      <c r="C17" s="37"/>
      <c r="D17" s="37"/>
      <c r="E17" s="37"/>
      <c r="F17" s="37"/>
      <c r="G17" s="37"/>
      <c r="H17" s="38"/>
    </row>
    <row r="18" s="21" customFormat="1" spans="1:8">
      <c r="A18" s="37"/>
      <c r="B18" s="37"/>
      <c r="C18" s="37"/>
      <c r="D18" s="37"/>
      <c r="E18" s="37"/>
      <c r="F18" s="37"/>
      <c r="G18" s="37"/>
      <c r="H18" s="38"/>
    </row>
    <row r="19" s="21" customFormat="1" spans="1:8">
      <c r="A19" s="37"/>
      <c r="B19" s="37"/>
      <c r="C19" s="37"/>
      <c r="D19" s="37"/>
      <c r="E19" s="37"/>
      <c r="F19" s="37"/>
      <c r="G19" s="37"/>
      <c r="H19" s="38"/>
    </row>
    <row r="20" s="21" customFormat="1" spans="1:8">
      <c r="A20" s="37"/>
      <c r="B20" s="37"/>
      <c r="C20" s="37"/>
      <c r="D20" s="37"/>
      <c r="E20" s="37"/>
      <c r="F20" s="37"/>
      <c r="G20" s="37"/>
      <c r="H20" s="38"/>
    </row>
    <row r="21" s="21" customFormat="1" spans="1:8">
      <c r="A21" s="37"/>
      <c r="B21" s="37"/>
      <c r="C21" s="37"/>
      <c r="D21" s="37"/>
      <c r="E21" s="37"/>
      <c r="F21" s="37"/>
      <c r="G21" s="37"/>
      <c r="H21" s="38"/>
    </row>
    <row r="22" s="21" customFormat="1" spans="1:8">
      <c r="A22" s="37"/>
      <c r="B22" s="37"/>
      <c r="C22" s="37"/>
      <c r="D22" s="37"/>
      <c r="E22" s="37"/>
      <c r="F22" s="37"/>
      <c r="G22" s="37"/>
      <c r="H22" s="38"/>
    </row>
    <row r="23" s="21" customFormat="1" spans="1:8">
      <c r="A23" s="37"/>
      <c r="B23" s="37"/>
      <c r="C23" s="37"/>
      <c r="D23" s="37"/>
      <c r="E23" s="37"/>
      <c r="F23" s="37"/>
      <c r="G23" s="37"/>
      <c r="H23" s="38"/>
    </row>
    <row r="24" s="21" customFormat="1" spans="1:8">
      <c r="A24" s="37"/>
      <c r="B24" s="37"/>
      <c r="C24" s="37"/>
      <c r="D24" s="37"/>
      <c r="E24" s="37"/>
      <c r="F24" s="37"/>
      <c r="G24" s="37"/>
      <c r="H24" s="38"/>
    </row>
    <row r="25" s="21" customFormat="1" spans="1:7">
      <c r="A25" s="22"/>
      <c r="B25" s="22"/>
      <c r="C25" s="22"/>
      <c r="D25" s="22"/>
      <c r="E25" s="22"/>
      <c r="F25" s="22"/>
      <c r="G25" s="22"/>
    </row>
    <row r="26" s="21" customFormat="1" spans="1:7">
      <c r="A26" s="22"/>
      <c r="B26" s="22"/>
      <c r="C26" s="22"/>
      <c r="D26" s="22"/>
      <c r="E26" s="22"/>
      <c r="F26" s="22"/>
      <c r="G26" s="22"/>
    </row>
    <row r="27" s="21" customFormat="1" spans="1:7">
      <c r="A27" s="22"/>
      <c r="B27" s="22"/>
      <c r="C27" s="22"/>
      <c r="D27" s="22"/>
      <c r="E27" s="22"/>
      <c r="F27" s="22"/>
      <c r="G27" s="22"/>
    </row>
    <row r="28" s="21" customFormat="1" spans="1:7">
      <c r="A28" s="22"/>
      <c r="B28" s="22"/>
      <c r="C28" s="22"/>
      <c r="D28" s="22"/>
      <c r="E28" s="22"/>
      <c r="F28" s="22"/>
      <c r="G28" s="22"/>
    </row>
    <row r="29" s="21" customFormat="1" spans="1:7">
      <c r="A29" s="22"/>
      <c r="B29" s="22"/>
      <c r="C29" s="22"/>
      <c r="D29" s="22"/>
      <c r="E29" s="22"/>
      <c r="F29" s="22"/>
      <c r="G29" s="22"/>
    </row>
    <row r="30" s="21" customFormat="1" spans="1:7">
      <c r="A30" s="22"/>
      <c r="B30" s="22"/>
      <c r="C30" s="22"/>
      <c r="D30" s="22"/>
      <c r="E30" s="22"/>
      <c r="F30" s="22"/>
      <c r="G30" s="22"/>
    </row>
    <row r="31" s="21" customFormat="1" spans="1:7">
      <c r="A31" s="22"/>
      <c r="B31" s="22"/>
      <c r="C31" s="22"/>
      <c r="D31" s="22"/>
      <c r="E31" s="22"/>
      <c r="F31" s="22"/>
      <c r="G31" s="22"/>
    </row>
    <row r="32" s="21" customFormat="1" spans="1:7">
      <c r="A32" s="22"/>
      <c r="B32" s="22"/>
      <c r="C32" s="22"/>
      <c r="D32" s="22"/>
      <c r="E32" s="22"/>
      <c r="F32" s="22"/>
      <c r="G32" s="22"/>
    </row>
    <row r="33" s="21" customFormat="1" spans="1:7">
      <c r="A33" s="22"/>
      <c r="B33" s="22"/>
      <c r="C33" s="22"/>
      <c r="D33" s="22"/>
      <c r="E33" s="22"/>
      <c r="F33" s="22"/>
      <c r="G33" s="22"/>
    </row>
    <row r="34" s="21" customFormat="1" spans="1:7">
      <c r="A34" s="22"/>
      <c r="B34" s="22"/>
      <c r="C34" s="22"/>
      <c r="D34" s="22"/>
      <c r="E34" s="22"/>
      <c r="F34" s="22"/>
      <c r="G34" s="22"/>
    </row>
    <row r="35" s="21" customFormat="1" spans="1:7">
      <c r="A35" s="22"/>
      <c r="B35" s="22"/>
      <c r="C35" s="22"/>
      <c r="D35" s="22"/>
      <c r="E35" s="22"/>
      <c r="F35" s="22"/>
      <c r="G35" s="22"/>
    </row>
  </sheetData>
  <mergeCells count="2">
    <mergeCell ref="A1:I1"/>
    <mergeCell ref="B4:I4"/>
  </mergeCell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5"/>
  <sheetViews>
    <sheetView zoomScale="40" zoomScaleNormal="40" workbookViewId="0">
      <selection activeCell="B14" sqref="B14:I14"/>
    </sheetView>
  </sheetViews>
  <sheetFormatPr defaultColWidth="9" defaultRowHeight="17.6"/>
  <cols>
    <col min="1" max="1" width="11.1327433628319" style="21" customWidth="1"/>
    <col min="2" max="2" width="26.3805309734513" style="21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2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0.95" customHeight="1" spans="1:9">
      <c r="A1" s="65" t="s">
        <v>787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27" t="s">
        <v>788</v>
      </c>
      <c r="C3" s="27">
        <v>9</v>
      </c>
      <c r="D3" s="63" t="s">
        <v>789</v>
      </c>
      <c r="E3" s="27" t="s">
        <v>790</v>
      </c>
      <c r="F3" s="27"/>
      <c r="G3" s="27"/>
      <c r="H3" s="30" t="str">
        <f>_xlfn.DISPIMG("ID_B0F9185C135A4B059340B94BFAAD7D30",1)</f>
        <v>=DISPIMG("ID_B0F9185C135A4B059340B94BFAAD7D30",1)</v>
      </c>
      <c r="I3" s="41" t="s">
        <v>444</v>
      </c>
    </row>
    <row r="4" s="21" customFormat="1" ht="84" customHeight="1" spans="1:9">
      <c r="A4" s="27">
        <v>2</v>
      </c>
      <c r="B4" s="27" t="s">
        <v>791</v>
      </c>
      <c r="C4" s="27">
        <v>2</v>
      </c>
      <c r="D4" s="63" t="s">
        <v>789</v>
      </c>
      <c r="E4" s="27" t="s">
        <v>790</v>
      </c>
      <c r="F4" s="27"/>
      <c r="G4" s="27"/>
      <c r="H4" s="30" t="str">
        <f>_xlfn.DISPIMG("ID_A7A144AA52D04060968B53A6379C3F1F",1)</f>
        <v>=DISPIMG("ID_A7A144AA52D04060968B53A6379C3F1F",1)</v>
      </c>
      <c r="I4" s="41" t="s">
        <v>444</v>
      </c>
    </row>
    <row r="5" s="21" customFormat="1" ht="84" customHeight="1" spans="1:9">
      <c r="A5" s="27">
        <v>3</v>
      </c>
      <c r="B5" s="27" t="s">
        <v>792</v>
      </c>
      <c r="C5" s="27">
        <v>28</v>
      </c>
      <c r="D5" s="63" t="s">
        <v>793</v>
      </c>
      <c r="E5" s="27" t="s">
        <v>790</v>
      </c>
      <c r="F5" s="27"/>
      <c r="G5" s="27"/>
      <c r="H5" s="30" t="str">
        <f>_xlfn.DISPIMG("ID_259B8B9629B44C52B4098A6E26F8D098",1)</f>
        <v>=DISPIMG("ID_259B8B9629B44C52B4098A6E26F8D098",1)</v>
      </c>
      <c r="I5" s="41" t="s">
        <v>189</v>
      </c>
    </row>
    <row r="6" s="21" customFormat="1" ht="84" customHeight="1" spans="1:9">
      <c r="A6" s="27">
        <v>4</v>
      </c>
      <c r="B6" s="27" t="s">
        <v>794</v>
      </c>
      <c r="C6" s="27">
        <v>2</v>
      </c>
      <c r="D6" s="27" t="s">
        <v>167</v>
      </c>
      <c r="E6" s="27" t="s">
        <v>790</v>
      </c>
      <c r="F6" s="27"/>
      <c r="G6" s="27"/>
      <c r="H6" s="30" t="str">
        <f>_xlfn.DISPIMG("ID_B2E2BA56A9324B8D865DED551F2184E4",1)</f>
        <v>=DISPIMG("ID_B2E2BA56A9324B8D865DED551F2184E4",1)</v>
      </c>
      <c r="I6" s="41" t="s">
        <v>795</v>
      </c>
    </row>
    <row r="7" s="21" customFormat="1" ht="84" customHeight="1" spans="1:9">
      <c r="A7" s="27">
        <v>5</v>
      </c>
      <c r="B7" s="27" t="s">
        <v>162</v>
      </c>
      <c r="C7" s="27">
        <v>5</v>
      </c>
      <c r="D7" s="63" t="s">
        <v>796</v>
      </c>
      <c r="E7" s="27" t="s">
        <v>19</v>
      </c>
      <c r="F7" s="27"/>
      <c r="G7" s="27"/>
      <c r="H7" s="30" t="str">
        <f>_xlfn.DISPIMG("ID_3FFDB0BC37B1437583BC2379CE8CB040",1)</f>
        <v>=DISPIMG("ID_3FFDB0BC37B1437583BC2379CE8CB040",1)</v>
      </c>
      <c r="I7" s="41" t="s">
        <v>189</v>
      </c>
    </row>
    <row r="8" s="21" customFormat="1" ht="84" customHeight="1" spans="1:9">
      <c r="A8" s="27">
        <v>6</v>
      </c>
      <c r="B8" s="27" t="s">
        <v>797</v>
      </c>
      <c r="C8" s="27">
        <v>19</v>
      </c>
      <c r="D8" s="63" t="s">
        <v>798</v>
      </c>
      <c r="E8" s="63" t="s">
        <v>799</v>
      </c>
      <c r="F8" s="27"/>
      <c r="G8" s="27"/>
      <c r="H8" s="30" t="str">
        <f>_xlfn.DISPIMG("ID_77750368EA344DAC8163B457324B056B",1)</f>
        <v>=DISPIMG("ID_77750368EA344DAC8163B457324B056B",1)</v>
      </c>
      <c r="I8" s="41" t="s">
        <v>39</v>
      </c>
    </row>
    <row r="9" s="21" customFormat="1" ht="84" customHeight="1" spans="1:9">
      <c r="A9" s="27">
        <v>7</v>
      </c>
      <c r="B9" s="27" t="s">
        <v>800</v>
      </c>
      <c r="C9" s="27">
        <v>2</v>
      </c>
      <c r="D9" s="63" t="s">
        <v>801</v>
      </c>
      <c r="E9" s="63" t="s">
        <v>802</v>
      </c>
      <c r="F9" s="27"/>
      <c r="G9" s="27"/>
      <c r="H9" s="30" t="str">
        <f>_xlfn.DISPIMG("ID_17CDFC1D2D8946FE90AD9E418516C6C8",1)</f>
        <v>=DISPIMG("ID_17CDFC1D2D8946FE90AD9E418516C6C8",1)</v>
      </c>
      <c r="I9" s="41" t="s">
        <v>803</v>
      </c>
    </row>
    <row r="10" s="21" customFormat="1" ht="96" customHeight="1" spans="1:9">
      <c r="A10" s="27">
        <v>8</v>
      </c>
      <c r="B10" s="27" t="s">
        <v>804</v>
      </c>
      <c r="C10" s="27">
        <v>4</v>
      </c>
      <c r="D10" s="63" t="s">
        <v>805</v>
      </c>
      <c r="E10" s="27" t="s">
        <v>806</v>
      </c>
      <c r="F10" s="27"/>
      <c r="G10" s="27"/>
      <c r="H10" s="30" t="str">
        <f>_xlfn.DISPIMG("ID_FC43327B42DF4704A1E5D32693BB3BAB",1)</f>
        <v>=DISPIMG("ID_FC43327B42DF4704A1E5D32693BB3BAB",1)</v>
      </c>
      <c r="I10" s="41" t="s">
        <v>169</v>
      </c>
    </row>
    <row r="11" s="21" customFormat="1" ht="84" customHeight="1" spans="1:9">
      <c r="A11" s="27">
        <v>9</v>
      </c>
      <c r="B11" s="66" t="s">
        <v>807</v>
      </c>
      <c r="C11" s="66">
        <v>2</v>
      </c>
      <c r="D11" s="63" t="s">
        <v>808</v>
      </c>
      <c r="E11" s="27" t="s">
        <v>806</v>
      </c>
      <c r="F11" s="66"/>
      <c r="G11" s="66"/>
      <c r="H11" s="67" t="str">
        <f>_xlfn.DISPIMG("ID_A79BEF526B0F4B45886AD3E2FBD4F384",1)</f>
        <v>=DISPIMG("ID_A79BEF526B0F4B45886AD3E2FBD4F384",1)</v>
      </c>
      <c r="I11" s="41" t="s">
        <v>169</v>
      </c>
    </row>
    <row r="12" s="21" customFormat="1" ht="84" customHeight="1" spans="1:9">
      <c r="A12" s="27">
        <v>10</v>
      </c>
      <c r="B12" s="27" t="s">
        <v>84</v>
      </c>
      <c r="C12" s="27">
        <v>8</v>
      </c>
      <c r="D12" s="63" t="s">
        <v>809</v>
      </c>
      <c r="E12" s="27" t="s">
        <v>806</v>
      </c>
      <c r="F12" s="27"/>
      <c r="G12" s="27"/>
      <c r="H12" s="30" t="str">
        <f>_xlfn.DISPIMG("ID_6FF6A402FDAA464CB4E2FCBF6EDC1D27",1)</f>
        <v>=DISPIMG("ID_6FF6A402FDAA464CB4E2FCBF6EDC1D27",1)</v>
      </c>
      <c r="I12" s="41" t="s">
        <v>169</v>
      </c>
    </row>
    <row r="13" s="21" customFormat="1" ht="84" customHeight="1" spans="1:9">
      <c r="A13" s="27">
        <v>11</v>
      </c>
      <c r="B13" s="66" t="s">
        <v>62</v>
      </c>
      <c r="C13" s="66">
        <v>2</v>
      </c>
      <c r="D13" s="63" t="s">
        <v>810</v>
      </c>
      <c r="E13" s="27" t="s">
        <v>790</v>
      </c>
      <c r="F13" s="66"/>
      <c r="G13" s="66"/>
      <c r="H13" s="67" t="str">
        <f>_xlfn.DISPIMG("ID_5989203B25B44FB08B47840EFF84738F",1)</f>
        <v>=DISPIMG("ID_5989203B25B44FB08B47840EFF84738F",1)</v>
      </c>
      <c r="I13" s="41" t="s">
        <v>811</v>
      </c>
    </row>
    <row r="14" s="21" customFormat="1" ht="24.95" customHeight="1" spans="1:9">
      <c r="A14" s="26" t="s">
        <v>86</v>
      </c>
      <c r="B14" s="35"/>
      <c r="C14" s="36"/>
      <c r="D14" s="36"/>
      <c r="E14" s="36"/>
      <c r="F14" s="36"/>
      <c r="G14" s="36"/>
      <c r="H14" s="36"/>
      <c r="I14" s="45"/>
    </row>
    <row r="15" s="21" customFormat="1" spans="1:9">
      <c r="A15" s="22"/>
      <c r="B15" s="22"/>
      <c r="C15" s="22"/>
      <c r="D15" s="22"/>
      <c r="E15" s="22"/>
      <c r="F15" s="22"/>
      <c r="G15" s="22"/>
      <c r="I15" s="23"/>
    </row>
    <row r="16" s="21" customFormat="1" spans="1:9">
      <c r="A16" s="22"/>
      <c r="B16" s="22"/>
      <c r="C16" s="22"/>
      <c r="D16" s="22"/>
      <c r="E16" s="22"/>
      <c r="F16" s="22"/>
      <c r="G16" s="22"/>
      <c r="I16" s="23"/>
    </row>
    <row r="17" s="21" customFormat="1" spans="1:9">
      <c r="A17" s="22"/>
      <c r="B17" s="22"/>
      <c r="C17" s="22"/>
      <c r="D17" s="22"/>
      <c r="E17" s="22"/>
      <c r="F17" s="22"/>
      <c r="G17" s="22"/>
      <c r="I17" s="23"/>
    </row>
    <row r="18" s="21" customFormat="1" spans="1:9">
      <c r="A18" s="22"/>
      <c r="B18" s="22"/>
      <c r="C18" s="22"/>
      <c r="D18" s="22"/>
      <c r="E18" s="22"/>
      <c r="F18" s="22"/>
      <c r="G18" s="22"/>
      <c r="I18" s="23"/>
    </row>
    <row r="19" s="21" customFormat="1" spans="1:9">
      <c r="A19" s="22"/>
      <c r="B19" s="22"/>
      <c r="C19" s="22"/>
      <c r="D19" s="22"/>
      <c r="E19" s="22"/>
      <c r="F19" s="22"/>
      <c r="G19" s="22"/>
      <c r="I19" s="23"/>
    </row>
    <row r="20" s="21" customFormat="1" spans="1:9">
      <c r="A20" s="22"/>
      <c r="B20" s="22"/>
      <c r="C20" s="22"/>
      <c r="D20" s="22"/>
      <c r="E20" s="22"/>
      <c r="F20" s="22"/>
      <c r="G20" s="22"/>
      <c r="I20" s="23"/>
    </row>
    <row r="21" s="21" customFormat="1" spans="1:9">
      <c r="A21" s="22"/>
      <c r="B21" s="22"/>
      <c r="C21" s="22"/>
      <c r="D21" s="22"/>
      <c r="E21" s="22"/>
      <c r="F21" s="22"/>
      <c r="G21" s="22"/>
      <c r="I21" s="23"/>
    </row>
    <row r="22" s="21" customFormat="1" spans="1:9">
      <c r="A22" s="22"/>
      <c r="B22" s="22"/>
      <c r="C22" s="22"/>
      <c r="D22" s="22"/>
      <c r="E22" s="22"/>
      <c r="F22" s="22"/>
      <c r="G22" s="22"/>
      <c r="I22" s="23"/>
    </row>
    <row r="23" s="21" customFormat="1" spans="1:9">
      <c r="A23" s="22"/>
      <c r="B23" s="22"/>
      <c r="C23" s="22"/>
      <c r="D23" s="22"/>
      <c r="E23" s="22"/>
      <c r="F23" s="22"/>
      <c r="G23" s="22"/>
      <c r="I23" s="23"/>
    </row>
    <row r="24" s="21" customFormat="1" spans="1:9">
      <c r="A24" s="22"/>
      <c r="B24" s="22"/>
      <c r="C24" s="22"/>
      <c r="D24" s="22"/>
      <c r="E24" s="22"/>
      <c r="F24" s="22"/>
      <c r="G24" s="22"/>
      <c r="I24" s="23"/>
    </row>
    <row r="25" s="21" customFormat="1" spans="1:9">
      <c r="A25" s="22"/>
      <c r="B25" s="22"/>
      <c r="C25" s="22"/>
      <c r="D25" s="22"/>
      <c r="E25" s="22"/>
      <c r="F25" s="22"/>
      <c r="G25" s="22"/>
      <c r="I25" s="23"/>
    </row>
    <row r="26" s="21" customFormat="1" spans="1:9">
      <c r="A26" s="22"/>
      <c r="B26" s="22"/>
      <c r="C26" s="22"/>
      <c r="D26" s="22"/>
      <c r="E26" s="22"/>
      <c r="F26" s="22"/>
      <c r="G26" s="22"/>
      <c r="I26" s="23"/>
    </row>
    <row r="27" s="21" customFormat="1" spans="1:9">
      <c r="A27" s="22"/>
      <c r="B27" s="22"/>
      <c r="C27" s="22"/>
      <c r="D27" s="22"/>
      <c r="E27" s="22"/>
      <c r="F27" s="22"/>
      <c r="G27" s="22"/>
      <c r="I27" s="23"/>
    </row>
    <row r="28" s="21" customFormat="1" spans="1:9">
      <c r="A28" s="22"/>
      <c r="B28" s="22"/>
      <c r="C28" s="22"/>
      <c r="D28" s="22"/>
      <c r="E28" s="22"/>
      <c r="F28" s="22"/>
      <c r="G28" s="22"/>
      <c r="I28" s="23"/>
    </row>
    <row r="29" s="21" customFormat="1" spans="1:9">
      <c r="A29" s="22"/>
      <c r="B29" s="22"/>
      <c r="C29" s="22"/>
      <c r="D29" s="22"/>
      <c r="E29" s="22"/>
      <c r="F29" s="22"/>
      <c r="G29" s="22"/>
      <c r="I29" s="23"/>
    </row>
    <row r="30" s="21" customFormat="1" spans="1:9">
      <c r="A30" s="22"/>
      <c r="B30" s="22"/>
      <c r="C30" s="22"/>
      <c r="D30" s="22"/>
      <c r="E30" s="22"/>
      <c r="F30" s="22"/>
      <c r="G30" s="22"/>
      <c r="I30" s="23"/>
    </row>
    <row r="31" s="21" customFormat="1" spans="1:9">
      <c r="A31" s="22"/>
      <c r="B31" s="22"/>
      <c r="C31" s="22"/>
      <c r="D31" s="22"/>
      <c r="E31" s="22"/>
      <c r="F31" s="22"/>
      <c r="G31" s="22"/>
      <c r="I31" s="23"/>
    </row>
    <row r="32" s="21" customFormat="1" spans="1:9">
      <c r="A32" s="22"/>
      <c r="B32" s="22"/>
      <c r="C32" s="22"/>
      <c r="D32" s="22"/>
      <c r="E32" s="22"/>
      <c r="F32" s="22"/>
      <c r="G32" s="22"/>
      <c r="I32" s="23"/>
    </row>
    <row r="33" s="21" customFormat="1" spans="1:9">
      <c r="A33" s="22"/>
      <c r="B33" s="22"/>
      <c r="C33" s="22"/>
      <c r="D33" s="22"/>
      <c r="E33" s="22"/>
      <c r="F33" s="22"/>
      <c r="G33" s="22"/>
      <c r="I33" s="23"/>
    </row>
    <row r="34" s="21" customFormat="1" spans="1:9">
      <c r="A34" s="22"/>
      <c r="B34" s="22"/>
      <c r="C34" s="22"/>
      <c r="D34" s="22"/>
      <c r="E34" s="22"/>
      <c r="F34" s="22"/>
      <c r="G34" s="22"/>
      <c r="I34" s="23"/>
    </row>
    <row r="35" s="21" customFormat="1" spans="1:9">
      <c r="A35" s="22"/>
      <c r="B35" s="22"/>
      <c r="C35" s="22"/>
      <c r="D35" s="22"/>
      <c r="E35" s="22"/>
      <c r="F35" s="22"/>
      <c r="G35" s="22"/>
      <c r="I35" s="23"/>
    </row>
    <row r="36" s="21" customFormat="1" spans="1:9">
      <c r="A36" s="22"/>
      <c r="B36" s="22"/>
      <c r="C36" s="22"/>
      <c r="D36" s="22"/>
      <c r="E36" s="22"/>
      <c r="F36" s="22"/>
      <c r="G36" s="22"/>
      <c r="I36" s="23"/>
    </row>
    <row r="37" s="21" customFormat="1" spans="1:9">
      <c r="A37" s="22"/>
      <c r="B37" s="22"/>
      <c r="C37" s="22"/>
      <c r="D37" s="22"/>
      <c r="E37" s="22"/>
      <c r="F37" s="22"/>
      <c r="G37" s="22"/>
      <c r="I37" s="23"/>
    </row>
    <row r="38" s="21" customFormat="1" spans="1:9">
      <c r="A38" s="22"/>
      <c r="B38" s="22"/>
      <c r="C38" s="22"/>
      <c r="D38" s="22"/>
      <c r="E38" s="22"/>
      <c r="F38" s="22"/>
      <c r="G38" s="22"/>
      <c r="I38" s="23"/>
    </row>
    <row r="39" s="21" customFormat="1" spans="1:9">
      <c r="A39" s="22"/>
      <c r="B39" s="22"/>
      <c r="C39" s="22"/>
      <c r="D39" s="22"/>
      <c r="E39" s="22"/>
      <c r="F39" s="22"/>
      <c r="G39" s="22"/>
      <c r="I39" s="23"/>
    </row>
    <row r="40" s="21" customFormat="1" spans="1:9">
      <c r="A40" s="22"/>
      <c r="B40" s="22"/>
      <c r="C40" s="22"/>
      <c r="D40" s="22"/>
      <c r="E40" s="22"/>
      <c r="F40" s="22"/>
      <c r="G40" s="22"/>
      <c r="I40" s="23"/>
    </row>
    <row r="41" s="21" customFormat="1" spans="1:9">
      <c r="A41" s="22"/>
      <c r="B41" s="22"/>
      <c r="C41" s="22"/>
      <c r="D41" s="22"/>
      <c r="E41" s="22"/>
      <c r="F41" s="22"/>
      <c r="G41" s="22"/>
      <c r="I41" s="23"/>
    </row>
    <row r="42" s="21" customFormat="1" spans="1:9">
      <c r="A42" s="22"/>
      <c r="B42" s="22"/>
      <c r="C42" s="22"/>
      <c r="D42" s="22"/>
      <c r="E42" s="22"/>
      <c r="F42" s="22"/>
      <c r="G42" s="22"/>
      <c r="I42" s="23"/>
    </row>
    <row r="43" s="21" customFormat="1" spans="1:9">
      <c r="A43" s="22"/>
      <c r="B43" s="22"/>
      <c r="C43" s="22"/>
      <c r="D43" s="22"/>
      <c r="E43" s="22"/>
      <c r="F43" s="22"/>
      <c r="G43" s="22"/>
      <c r="I43" s="23"/>
    </row>
    <row r="44" s="21" customFormat="1" spans="1:9">
      <c r="A44" s="22"/>
      <c r="B44" s="22"/>
      <c r="C44" s="22"/>
      <c r="D44" s="22"/>
      <c r="E44" s="22"/>
      <c r="F44" s="22"/>
      <c r="G44" s="22"/>
      <c r="I44" s="23"/>
    </row>
    <row r="45" s="21" customFormat="1" spans="1:9">
      <c r="A45" s="22"/>
      <c r="B45" s="22"/>
      <c r="C45" s="22"/>
      <c r="D45" s="22"/>
      <c r="E45" s="22"/>
      <c r="F45" s="22"/>
      <c r="G45" s="22"/>
      <c r="I45" s="23"/>
    </row>
  </sheetData>
  <mergeCells count="2">
    <mergeCell ref="A1:I1"/>
    <mergeCell ref="B14:I14"/>
  </mergeCells>
  <pageMargins left="0.75" right="0.75" top="1" bottom="1" header="0.5" footer="0.5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3"/>
  <sheetViews>
    <sheetView zoomScale="40" zoomScaleNormal="40" workbookViewId="0">
      <selection activeCell="B12" sqref="B12:I12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4" width="20.8761061946903" style="21" customWidth="1"/>
    <col min="5" max="5" width="31" style="21" customWidth="1"/>
    <col min="6" max="6" width="19.6283185840708" style="21" customWidth="1"/>
    <col min="7" max="7" width="24.7522123893805" style="22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47" t="s">
        <v>812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84" customHeight="1" spans="1:9">
      <c r="A3" s="27">
        <v>1</v>
      </c>
      <c r="B3" s="27" t="s">
        <v>813</v>
      </c>
      <c r="C3" s="27">
        <v>2</v>
      </c>
      <c r="D3" s="27" t="s">
        <v>814</v>
      </c>
      <c r="E3" s="27" t="s">
        <v>45</v>
      </c>
      <c r="F3" s="27"/>
      <c r="G3" s="27"/>
      <c r="H3" s="30" t="str">
        <f>_xlfn.DISPIMG("ID_9BCF96F0971E40658D797F8AAA5364B4",1)</f>
        <v>=DISPIMG("ID_9BCF96F0971E40658D797F8AAA5364B4",1)</v>
      </c>
      <c r="I3" s="41" t="s">
        <v>54</v>
      </c>
    </row>
    <row r="4" s="21" customFormat="1" ht="84" customHeight="1" spans="1:9">
      <c r="A4" s="27">
        <v>2</v>
      </c>
      <c r="B4" s="27" t="s">
        <v>815</v>
      </c>
      <c r="C4" s="27">
        <v>1</v>
      </c>
      <c r="D4" s="27" t="s">
        <v>816</v>
      </c>
      <c r="E4" s="27" t="s">
        <v>45</v>
      </c>
      <c r="F4" s="27"/>
      <c r="G4" s="27"/>
      <c r="H4" s="30" t="str">
        <f>_xlfn.DISPIMG("ID_4F7DF389922A4D419B6B5D5E4516EADB",1)</f>
        <v>=DISPIMG("ID_4F7DF389922A4D419B6B5D5E4516EADB",1)</v>
      </c>
      <c r="I4" s="41" t="s">
        <v>69</v>
      </c>
    </row>
    <row r="5" s="21" customFormat="1" ht="84" customHeight="1" spans="1:9">
      <c r="A5" s="27">
        <v>3</v>
      </c>
      <c r="B5" s="27" t="s">
        <v>817</v>
      </c>
      <c r="C5" s="27">
        <v>8</v>
      </c>
      <c r="D5" s="27" t="s">
        <v>818</v>
      </c>
      <c r="E5" s="63" t="s">
        <v>819</v>
      </c>
      <c r="F5" s="27"/>
      <c r="G5" s="27"/>
      <c r="H5" s="30" t="str">
        <f>_xlfn.DISPIMG("ID_63DF01F44A8745E394EEAC2718A2B54B",1)</f>
        <v>=DISPIMG("ID_63DF01F44A8745E394EEAC2718A2B54B",1)</v>
      </c>
      <c r="I5" s="41" t="s">
        <v>820</v>
      </c>
    </row>
    <row r="6" s="21" customFormat="1" ht="84" customHeight="1" spans="1:9">
      <c r="A6" s="27">
        <v>4</v>
      </c>
      <c r="B6" s="63" t="s">
        <v>821</v>
      </c>
      <c r="C6" s="27">
        <v>60</v>
      </c>
      <c r="D6" s="27" t="s">
        <v>167</v>
      </c>
      <c r="E6" s="63" t="s">
        <v>819</v>
      </c>
      <c r="F6" s="27"/>
      <c r="G6" s="27"/>
      <c r="H6" s="30" t="str">
        <f>_xlfn.DISPIMG("ID_4BDF9D454C424D70AC9AE5397DF9224F",1)</f>
        <v>=DISPIMG("ID_4BDF9D454C424D70AC9AE5397DF9224F",1)</v>
      </c>
      <c r="I6" s="41" t="s">
        <v>786</v>
      </c>
    </row>
    <row r="7" s="21" customFormat="1" ht="84" customHeight="1" spans="1:9">
      <c r="A7" s="27">
        <v>5</v>
      </c>
      <c r="B7" s="27" t="s">
        <v>822</v>
      </c>
      <c r="C7" s="27">
        <v>60</v>
      </c>
      <c r="D7" s="27" t="s">
        <v>167</v>
      </c>
      <c r="E7" s="63" t="s">
        <v>819</v>
      </c>
      <c r="F7" s="27"/>
      <c r="G7" s="27"/>
      <c r="H7" s="30" t="str">
        <f>_xlfn.DISPIMG("ID_4EA2F4C47AAA457D9183287FEDA2903D",1)</f>
        <v>=DISPIMG("ID_4EA2F4C47AAA457D9183287FEDA2903D",1)</v>
      </c>
      <c r="I7" s="41" t="s">
        <v>189</v>
      </c>
    </row>
    <row r="8" s="21" customFormat="1" ht="99" customHeight="1" spans="1:9">
      <c r="A8" s="27">
        <v>6</v>
      </c>
      <c r="B8" s="27" t="s">
        <v>823</v>
      </c>
      <c r="C8" s="27">
        <v>3</v>
      </c>
      <c r="D8" s="27" t="s">
        <v>824</v>
      </c>
      <c r="E8" s="63" t="s">
        <v>825</v>
      </c>
      <c r="F8" s="27"/>
      <c r="G8" s="27"/>
      <c r="H8" s="30" t="str">
        <f>_xlfn.DISPIMG("ID_0D395D98321E4A2AB7423CCABC731766",1)</f>
        <v>=DISPIMG("ID_0D395D98321E4A2AB7423CCABC731766",1)</v>
      </c>
      <c r="I8" s="41" t="s">
        <v>83</v>
      </c>
    </row>
    <row r="9" s="21" customFormat="1" ht="84" customHeight="1" spans="1:9">
      <c r="A9" s="27">
        <v>7</v>
      </c>
      <c r="B9" s="27" t="s">
        <v>826</v>
      </c>
      <c r="C9" s="27">
        <v>8</v>
      </c>
      <c r="D9" s="27" t="s">
        <v>827</v>
      </c>
      <c r="E9" s="63" t="s">
        <v>819</v>
      </c>
      <c r="F9" s="27"/>
      <c r="G9" s="27"/>
      <c r="H9" s="30" t="str">
        <f>_xlfn.DISPIMG("ID_94C416E86B8C4AE09DC625BA6112F1B0",1)</f>
        <v>=DISPIMG("ID_94C416E86B8C4AE09DC625BA6112F1B0",1)</v>
      </c>
      <c r="I9" s="41" t="s">
        <v>828</v>
      </c>
    </row>
    <row r="10" s="21" customFormat="1" ht="84" customHeight="1" spans="1:9">
      <c r="A10" s="27">
        <v>8</v>
      </c>
      <c r="B10" s="27" t="s">
        <v>829</v>
      </c>
      <c r="C10" s="27">
        <v>8</v>
      </c>
      <c r="D10" s="27" t="s">
        <v>830</v>
      </c>
      <c r="E10" s="63" t="s">
        <v>819</v>
      </c>
      <c r="F10" s="27"/>
      <c r="G10" s="27"/>
      <c r="H10" s="30" t="str">
        <f>_xlfn.DISPIMG("ID_5EA312D448D143B7A3A238E39965D141",1)</f>
        <v>=DISPIMG("ID_5EA312D448D143B7A3A238E39965D141",1)</v>
      </c>
      <c r="I10" s="41" t="s">
        <v>828</v>
      </c>
    </row>
    <row r="11" s="21" customFormat="1" ht="84" customHeight="1" spans="1:9">
      <c r="A11" s="27">
        <v>9</v>
      </c>
      <c r="B11" s="27" t="s">
        <v>831</v>
      </c>
      <c r="C11" s="27">
        <v>4</v>
      </c>
      <c r="D11" s="27" t="s">
        <v>824</v>
      </c>
      <c r="E11" s="63" t="s">
        <v>819</v>
      </c>
      <c r="F11" s="27"/>
      <c r="G11" s="27"/>
      <c r="H11" s="30" t="str">
        <f>_xlfn.DISPIMG("ID_73BB9BDE8A8543F78AFC8365A95D4648",1)</f>
        <v>=DISPIMG("ID_73BB9BDE8A8543F78AFC8365A95D4648",1)</v>
      </c>
      <c r="I11" s="41" t="s">
        <v>189</v>
      </c>
    </row>
    <row r="12" s="21" customFormat="1" ht="25" customHeight="1" spans="1:9">
      <c r="A12" s="64" t="s">
        <v>86</v>
      </c>
      <c r="B12" s="35"/>
      <c r="C12" s="36"/>
      <c r="D12" s="36"/>
      <c r="E12" s="36"/>
      <c r="F12" s="36"/>
      <c r="G12" s="36"/>
      <c r="H12" s="36"/>
      <c r="I12" s="45"/>
    </row>
    <row r="13" s="21" customFormat="1" spans="1:9">
      <c r="A13" s="37"/>
      <c r="B13" s="37"/>
      <c r="C13" s="37"/>
      <c r="D13" s="37"/>
      <c r="E13" s="37"/>
      <c r="F13" s="37"/>
      <c r="G13" s="37"/>
      <c r="H13" s="38"/>
      <c r="I13" s="23"/>
    </row>
    <row r="14" s="21" customFormat="1" spans="1:9">
      <c r="A14" s="37"/>
      <c r="B14" s="37"/>
      <c r="C14" s="37"/>
      <c r="D14" s="37"/>
      <c r="E14" s="37"/>
      <c r="F14" s="37"/>
      <c r="G14" s="37"/>
      <c r="H14" s="38"/>
      <c r="I14" s="23"/>
    </row>
    <row r="15" s="21" customFormat="1" spans="1:9">
      <c r="A15" s="37"/>
      <c r="B15" s="37"/>
      <c r="C15" s="37"/>
      <c r="D15" s="37"/>
      <c r="E15" s="37"/>
      <c r="F15" s="37"/>
      <c r="G15" s="37"/>
      <c r="H15" s="38"/>
      <c r="I15" s="23"/>
    </row>
    <row r="16" s="21" customFormat="1" spans="1:9">
      <c r="A16" s="37"/>
      <c r="B16" s="37"/>
      <c r="C16" s="37"/>
      <c r="D16" s="37"/>
      <c r="E16" s="37"/>
      <c r="F16" s="37"/>
      <c r="G16" s="37"/>
      <c r="H16" s="38"/>
      <c r="I16" s="23"/>
    </row>
    <row r="17" s="21" customFormat="1" spans="1:9">
      <c r="A17" s="37"/>
      <c r="B17" s="37"/>
      <c r="C17" s="37"/>
      <c r="D17" s="37"/>
      <c r="E17" s="37"/>
      <c r="F17" s="37"/>
      <c r="G17" s="37"/>
      <c r="H17" s="38"/>
      <c r="I17" s="23"/>
    </row>
    <row r="18" s="21" customFormat="1" spans="1:9">
      <c r="A18" s="37"/>
      <c r="B18" s="37"/>
      <c r="C18" s="37"/>
      <c r="D18" s="37"/>
      <c r="E18" s="37"/>
      <c r="F18" s="37"/>
      <c r="G18" s="37"/>
      <c r="H18" s="38"/>
      <c r="I18" s="23"/>
    </row>
    <row r="19" s="21" customFormat="1" spans="1:9">
      <c r="A19" s="37"/>
      <c r="B19" s="37"/>
      <c r="C19" s="37"/>
      <c r="D19" s="37"/>
      <c r="E19" s="37"/>
      <c r="F19" s="37"/>
      <c r="G19" s="37"/>
      <c r="H19" s="38"/>
      <c r="I19" s="23"/>
    </row>
    <row r="20" s="21" customFormat="1" spans="1:9">
      <c r="A20" s="37"/>
      <c r="B20" s="37"/>
      <c r="C20" s="37"/>
      <c r="D20" s="37"/>
      <c r="E20" s="37"/>
      <c r="F20" s="37"/>
      <c r="G20" s="37"/>
      <c r="H20" s="38"/>
      <c r="I20" s="23"/>
    </row>
    <row r="21" s="21" customFormat="1" spans="1:9">
      <c r="A21" s="37"/>
      <c r="B21" s="37"/>
      <c r="C21" s="37"/>
      <c r="D21" s="37"/>
      <c r="E21" s="37"/>
      <c r="F21" s="37"/>
      <c r="G21" s="37"/>
      <c r="H21" s="38"/>
      <c r="I21" s="23"/>
    </row>
    <row r="22" s="21" customFormat="1" spans="1:9">
      <c r="A22" s="37"/>
      <c r="B22" s="37"/>
      <c r="C22" s="37"/>
      <c r="D22" s="37"/>
      <c r="E22" s="37"/>
      <c r="F22" s="37"/>
      <c r="G22" s="37"/>
      <c r="H22" s="38"/>
      <c r="I22" s="23"/>
    </row>
    <row r="23" s="21" customFormat="1" spans="1:9">
      <c r="A23" s="37"/>
      <c r="B23" s="37"/>
      <c r="C23" s="37"/>
      <c r="D23" s="37"/>
      <c r="E23" s="37"/>
      <c r="F23" s="37"/>
      <c r="G23" s="37"/>
      <c r="H23" s="38"/>
      <c r="I23" s="23"/>
    </row>
    <row r="24" s="21" customFormat="1" spans="1:9">
      <c r="A24" s="37"/>
      <c r="B24" s="37"/>
      <c r="C24" s="37"/>
      <c r="D24" s="37"/>
      <c r="E24" s="37"/>
      <c r="F24" s="37"/>
      <c r="G24" s="37"/>
      <c r="H24" s="38"/>
      <c r="I24" s="23"/>
    </row>
    <row r="25" s="21" customFormat="1" spans="1:9">
      <c r="A25" s="37"/>
      <c r="B25" s="37"/>
      <c r="C25" s="37"/>
      <c r="D25" s="37"/>
      <c r="E25" s="37"/>
      <c r="F25" s="37"/>
      <c r="G25" s="37"/>
      <c r="H25" s="38"/>
      <c r="I25" s="23"/>
    </row>
    <row r="26" s="21" customFormat="1" spans="1:9">
      <c r="A26" s="37"/>
      <c r="B26" s="37"/>
      <c r="C26" s="37"/>
      <c r="D26" s="37"/>
      <c r="E26" s="37"/>
      <c r="F26" s="37"/>
      <c r="G26" s="37"/>
      <c r="H26" s="38"/>
      <c r="I26" s="23"/>
    </row>
    <row r="27" s="21" customFormat="1" spans="1:9">
      <c r="A27" s="37"/>
      <c r="B27" s="37"/>
      <c r="C27" s="37"/>
      <c r="D27" s="37"/>
      <c r="E27" s="37"/>
      <c r="F27" s="37"/>
      <c r="G27" s="37"/>
      <c r="H27" s="38"/>
      <c r="I27" s="23"/>
    </row>
    <row r="28" s="21" customFormat="1" spans="1:9">
      <c r="A28" s="37"/>
      <c r="B28" s="37"/>
      <c r="C28" s="37"/>
      <c r="D28" s="37"/>
      <c r="E28" s="37"/>
      <c r="F28" s="37"/>
      <c r="G28" s="37"/>
      <c r="H28" s="38"/>
      <c r="I28" s="23"/>
    </row>
    <row r="29" s="21" customFormat="1" spans="1:9">
      <c r="A29" s="37"/>
      <c r="B29" s="37"/>
      <c r="C29" s="37"/>
      <c r="D29" s="37"/>
      <c r="E29" s="37"/>
      <c r="F29" s="37"/>
      <c r="G29" s="37"/>
      <c r="H29" s="38"/>
      <c r="I29" s="23"/>
    </row>
    <row r="30" s="21" customFormat="1" spans="1:9">
      <c r="A30" s="37"/>
      <c r="B30" s="37"/>
      <c r="C30" s="37"/>
      <c r="D30" s="37"/>
      <c r="E30" s="37"/>
      <c r="F30" s="37"/>
      <c r="G30" s="37"/>
      <c r="H30" s="38"/>
      <c r="I30" s="23"/>
    </row>
    <row r="31" s="21" customFormat="1" spans="1:9">
      <c r="A31" s="37"/>
      <c r="B31" s="37"/>
      <c r="C31" s="37"/>
      <c r="D31" s="37"/>
      <c r="E31" s="37"/>
      <c r="F31" s="37"/>
      <c r="G31" s="37"/>
      <c r="H31" s="38"/>
      <c r="I31" s="23"/>
    </row>
    <row r="32" s="21" customFormat="1" spans="1:9">
      <c r="A32" s="37"/>
      <c r="B32" s="37"/>
      <c r="C32" s="37"/>
      <c r="D32" s="37"/>
      <c r="E32" s="37"/>
      <c r="F32" s="37"/>
      <c r="G32" s="37"/>
      <c r="H32" s="38"/>
      <c r="I32" s="23"/>
    </row>
    <row r="33" s="21" customFormat="1" spans="1:9">
      <c r="A33" s="22"/>
      <c r="B33" s="22"/>
      <c r="C33" s="22"/>
      <c r="D33" s="22"/>
      <c r="E33" s="22"/>
      <c r="F33" s="22"/>
      <c r="G33" s="22"/>
      <c r="I33" s="23"/>
    </row>
    <row r="34" s="21" customFormat="1" spans="1:9">
      <c r="A34" s="22"/>
      <c r="B34" s="22"/>
      <c r="C34" s="22"/>
      <c r="D34" s="22"/>
      <c r="E34" s="22"/>
      <c r="F34" s="22"/>
      <c r="G34" s="22"/>
      <c r="I34" s="23"/>
    </row>
    <row r="35" s="21" customFormat="1" spans="1:9">
      <c r="A35" s="22"/>
      <c r="B35" s="22"/>
      <c r="C35" s="22"/>
      <c r="D35" s="22"/>
      <c r="E35" s="22"/>
      <c r="F35" s="22"/>
      <c r="G35" s="22"/>
      <c r="I35" s="23"/>
    </row>
    <row r="36" s="21" customFormat="1" spans="1:9">
      <c r="A36" s="22"/>
      <c r="B36" s="22"/>
      <c r="C36" s="22"/>
      <c r="D36" s="22"/>
      <c r="E36" s="22"/>
      <c r="F36" s="22"/>
      <c r="G36" s="22"/>
      <c r="I36" s="23"/>
    </row>
    <row r="37" s="21" customFormat="1" spans="1:9">
      <c r="A37" s="22"/>
      <c r="B37" s="22"/>
      <c r="C37" s="22"/>
      <c r="D37" s="22"/>
      <c r="E37" s="22"/>
      <c r="F37" s="22"/>
      <c r="G37" s="22"/>
      <c r="I37" s="23"/>
    </row>
    <row r="38" s="21" customFormat="1" spans="1:9">
      <c r="A38" s="22"/>
      <c r="B38" s="22"/>
      <c r="C38" s="22"/>
      <c r="D38" s="22"/>
      <c r="E38" s="22"/>
      <c r="F38" s="22"/>
      <c r="G38" s="22"/>
      <c r="I38" s="23"/>
    </row>
    <row r="39" s="21" customFormat="1" spans="1:9">
      <c r="A39" s="22"/>
      <c r="B39" s="22"/>
      <c r="C39" s="22"/>
      <c r="D39" s="22"/>
      <c r="E39" s="22"/>
      <c r="F39" s="22"/>
      <c r="G39" s="22"/>
      <c r="I39" s="23"/>
    </row>
    <row r="40" s="21" customFormat="1" spans="1:9">
      <c r="A40" s="22"/>
      <c r="B40" s="22"/>
      <c r="C40" s="22"/>
      <c r="D40" s="22"/>
      <c r="E40" s="22"/>
      <c r="F40" s="22"/>
      <c r="G40" s="22"/>
      <c r="I40" s="23"/>
    </row>
    <row r="41" s="21" customFormat="1" spans="1:9">
      <c r="A41" s="22"/>
      <c r="B41" s="22"/>
      <c r="C41" s="22"/>
      <c r="D41" s="22"/>
      <c r="E41" s="22"/>
      <c r="F41" s="22"/>
      <c r="G41" s="22"/>
      <c r="I41" s="23"/>
    </row>
    <row r="42" s="21" customFormat="1" spans="1:9">
      <c r="A42" s="22"/>
      <c r="B42" s="22"/>
      <c r="C42" s="22"/>
      <c r="D42" s="22"/>
      <c r="E42" s="22"/>
      <c r="F42" s="22"/>
      <c r="G42" s="22"/>
      <c r="I42" s="23"/>
    </row>
    <row r="43" s="21" customFormat="1" spans="1:9">
      <c r="A43" s="22"/>
      <c r="B43" s="22"/>
      <c r="C43" s="22"/>
      <c r="D43" s="22"/>
      <c r="E43" s="22"/>
      <c r="F43" s="22"/>
      <c r="G43" s="22"/>
      <c r="I43" s="23"/>
    </row>
  </sheetData>
  <mergeCells count="2">
    <mergeCell ref="A1:I1"/>
    <mergeCell ref="B12:I12"/>
  </mergeCells>
  <pageMargins left="0.75" right="0.75" top="1" bottom="1" header="0.5" footer="0.5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5"/>
  <sheetViews>
    <sheetView zoomScale="55" zoomScaleNormal="55" workbookViewId="0">
      <selection activeCell="B14" sqref="B14:H14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5" width="20.8761061946903" style="21" customWidth="1"/>
    <col min="6" max="6" width="19.6283185840708" style="46" customWidth="1"/>
    <col min="7" max="7" width="24.7522123893805" style="22" customWidth="1"/>
    <col min="8" max="8" width="26.8761061946903" style="21" customWidth="1"/>
    <col min="9" max="9" width="19.6283185840708" style="23" customWidth="1"/>
    <col min="10" max="16384" width="9" style="21"/>
  </cols>
  <sheetData>
    <row r="1" s="21" customFormat="1" ht="30.95" customHeight="1" spans="1:9">
      <c r="A1" s="47" t="s">
        <v>832</v>
      </c>
      <c r="B1" s="25"/>
      <c r="C1" s="25"/>
      <c r="D1" s="25"/>
      <c r="E1" s="25"/>
      <c r="F1" s="25"/>
      <c r="G1" s="25"/>
      <c r="H1" s="25"/>
      <c r="I1" s="25"/>
    </row>
    <row r="2" s="21" customFormat="1" ht="17.65" spans="1:9">
      <c r="A2" s="48" t="s">
        <v>1</v>
      </c>
      <c r="B2" s="48" t="s">
        <v>25</v>
      </c>
      <c r="C2" s="48" t="s">
        <v>3</v>
      </c>
      <c r="D2" s="48" t="s">
        <v>26</v>
      </c>
      <c r="E2" s="48" t="s">
        <v>27</v>
      </c>
      <c r="F2" s="49" t="s">
        <v>28</v>
      </c>
      <c r="G2" s="48" t="s">
        <v>29</v>
      </c>
      <c r="H2" s="50" t="s">
        <v>30</v>
      </c>
      <c r="I2" s="62" t="s">
        <v>31</v>
      </c>
    </row>
    <row r="3" s="21" customFormat="1" ht="84" customHeight="1" spans="1:9">
      <c r="A3" s="51">
        <v>1</v>
      </c>
      <c r="B3" s="52" t="s">
        <v>833</v>
      </c>
      <c r="C3" s="51">
        <v>1</v>
      </c>
      <c r="D3" s="51" t="s">
        <v>834</v>
      </c>
      <c r="E3" s="51" t="s">
        <v>835</v>
      </c>
      <c r="F3" s="53"/>
      <c r="G3" s="51"/>
      <c r="H3" s="54" t="str">
        <f>_xlfn.DISPIMG("ID_161A04D0C5774B6D98EA51607B5DA419",1)</f>
        <v>=DISPIMG("ID_161A04D0C5774B6D98EA51607B5DA419",1)</v>
      </c>
      <c r="I3" s="41" t="s">
        <v>836</v>
      </c>
    </row>
    <row r="4" s="21" customFormat="1" ht="84" customHeight="1" spans="1:9">
      <c r="A4" s="51">
        <v>2</v>
      </c>
      <c r="B4" s="52" t="s">
        <v>837</v>
      </c>
      <c r="C4" s="51">
        <v>120</v>
      </c>
      <c r="D4" s="51" t="s">
        <v>838</v>
      </c>
      <c r="E4" s="51" t="s">
        <v>839</v>
      </c>
      <c r="F4" s="53"/>
      <c r="G4" s="51"/>
      <c r="H4" s="54" t="str">
        <f>_xlfn.DISPIMG("ID_2F35A1E8FE1540A083CD13152DD04727",1)</f>
        <v>=DISPIMG("ID_2F35A1E8FE1540A083CD13152DD04727",1)</v>
      </c>
      <c r="I4" s="41" t="s">
        <v>840</v>
      </c>
    </row>
    <row r="5" s="21" customFormat="1" ht="84" customHeight="1" spans="1:9">
      <c r="A5" s="51">
        <v>3</v>
      </c>
      <c r="B5" s="51" t="s">
        <v>36</v>
      </c>
      <c r="C5" s="51">
        <v>10</v>
      </c>
      <c r="D5" s="51" t="s">
        <v>841</v>
      </c>
      <c r="E5" s="51" t="s">
        <v>839</v>
      </c>
      <c r="F5" s="53"/>
      <c r="G5" s="51"/>
      <c r="H5" s="54" t="str">
        <f>_xlfn.DISPIMG("ID_5A9278B35660455485A0811D1249C061",1)</f>
        <v>=DISPIMG("ID_5A9278B35660455485A0811D1249C061",1)</v>
      </c>
      <c r="I5" s="41" t="s">
        <v>842</v>
      </c>
    </row>
    <row r="6" s="21" customFormat="1" ht="84" customHeight="1" spans="1:9">
      <c r="A6" s="51">
        <v>4</v>
      </c>
      <c r="B6" s="55" t="s">
        <v>583</v>
      </c>
      <c r="C6" s="51">
        <v>2</v>
      </c>
      <c r="D6" s="51" t="s">
        <v>841</v>
      </c>
      <c r="E6" s="51" t="s">
        <v>839</v>
      </c>
      <c r="F6" s="53"/>
      <c r="G6" s="51"/>
      <c r="H6" s="54" t="str">
        <f>_xlfn.DISPIMG("ID_C4F9E6D8EF3C43A68FE3726A78A2A4DB",1)</f>
        <v>=DISPIMG("ID_C4F9E6D8EF3C43A68FE3726A78A2A4DB",1)</v>
      </c>
      <c r="I6" s="41" t="s">
        <v>843</v>
      </c>
    </row>
    <row r="7" s="21" customFormat="1" ht="84" customHeight="1" spans="1:9">
      <c r="A7" s="51">
        <v>5</v>
      </c>
      <c r="B7" s="51" t="s">
        <v>844</v>
      </c>
      <c r="C7" s="51">
        <v>6</v>
      </c>
      <c r="D7" s="51" t="s">
        <v>841</v>
      </c>
      <c r="E7" s="51" t="s">
        <v>839</v>
      </c>
      <c r="F7" s="53"/>
      <c r="G7" s="51"/>
      <c r="H7" s="54" t="str">
        <f>_xlfn.DISPIMG("ID_2C12E350B5E340ABA62E40179EF26BB2",1)</f>
        <v>=DISPIMG("ID_2C12E350B5E340ABA62E40179EF26BB2",1)</v>
      </c>
      <c r="I7" s="41" t="s">
        <v>845</v>
      </c>
    </row>
    <row r="8" s="21" customFormat="1" ht="84" customHeight="1" spans="1:9">
      <c r="A8" s="51">
        <v>6</v>
      </c>
      <c r="B8" s="51" t="s">
        <v>846</v>
      </c>
      <c r="C8" s="51">
        <v>3</v>
      </c>
      <c r="D8" s="51" t="s">
        <v>261</v>
      </c>
      <c r="E8" s="51" t="s">
        <v>847</v>
      </c>
      <c r="F8" s="53"/>
      <c r="G8" s="51"/>
      <c r="H8" s="54" t="str">
        <f>_xlfn.DISPIMG("ID_8DF84C53F8B64E2DB25CFC91652A0EA0",1)</f>
        <v>=DISPIMG("ID_8DF84C53F8B64E2DB25CFC91652A0EA0",1)</v>
      </c>
      <c r="I8" s="41" t="s">
        <v>848</v>
      </c>
    </row>
    <row r="9" s="21" customFormat="1" ht="70" customHeight="1" spans="1:9">
      <c r="A9" s="51">
        <v>7</v>
      </c>
      <c r="B9" s="56" t="s">
        <v>849</v>
      </c>
      <c r="C9" s="57">
        <v>1</v>
      </c>
      <c r="D9" s="58" t="s">
        <v>850</v>
      </c>
      <c r="E9" s="51" t="s">
        <v>847</v>
      </c>
      <c r="F9" s="59"/>
      <c r="G9" s="27"/>
      <c r="H9" s="60" t="str">
        <f>_xlfn.DISPIMG("ID_A63A0243125E45E08B4DE9E4581CD9F9",1)</f>
        <v>=DISPIMG("ID_A63A0243125E45E08B4DE9E4581CD9F9",1)</v>
      </c>
      <c r="I9" s="41" t="s">
        <v>851</v>
      </c>
    </row>
    <row r="10" s="21" customFormat="1" ht="76" customHeight="1" spans="1:9">
      <c r="A10" s="51">
        <v>8</v>
      </c>
      <c r="B10" s="56" t="s">
        <v>852</v>
      </c>
      <c r="C10" s="57">
        <v>1</v>
      </c>
      <c r="D10" s="58" t="s">
        <v>853</v>
      </c>
      <c r="E10" s="51" t="s">
        <v>847</v>
      </c>
      <c r="F10" s="59"/>
      <c r="G10" s="27"/>
      <c r="H10" s="35" t="str">
        <f>_xlfn.DISPIMG("ID_C73D774A27864DF59A22EA3BDA332BFD",1)</f>
        <v>=DISPIMG("ID_C73D774A27864DF59A22EA3BDA332BFD",1)</v>
      </c>
      <c r="I10" s="41" t="s">
        <v>854</v>
      </c>
    </row>
    <row r="11" s="21" customFormat="1" ht="72" customHeight="1" spans="1:9">
      <c r="A11" s="51">
        <v>9</v>
      </c>
      <c r="B11" s="56" t="s">
        <v>855</v>
      </c>
      <c r="C11" s="57">
        <v>5</v>
      </c>
      <c r="D11" s="58" t="s">
        <v>856</v>
      </c>
      <c r="E11" s="51" t="s">
        <v>847</v>
      </c>
      <c r="F11" s="59"/>
      <c r="G11" s="27"/>
      <c r="H11" s="35" t="str">
        <f>_xlfn.DISPIMG("ID_82E57D69640D4811B209D218653D50C6",1)</f>
        <v>=DISPIMG("ID_82E57D69640D4811B209D218653D50C6",1)</v>
      </c>
      <c r="I11" s="41" t="s">
        <v>857</v>
      </c>
    </row>
    <row r="12" s="21" customFormat="1" ht="74" customHeight="1" spans="1:9">
      <c r="A12" s="51">
        <v>10</v>
      </c>
      <c r="B12" s="56" t="s">
        <v>858</v>
      </c>
      <c r="C12" s="57">
        <v>1</v>
      </c>
      <c r="D12" s="58" t="s">
        <v>859</v>
      </c>
      <c r="E12" s="51" t="s">
        <v>847</v>
      </c>
      <c r="F12" s="59"/>
      <c r="G12" s="27"/>
      <c r="H12" s="35" t="str">
        <f>_xlfn.DISPIMG("ID_24387ECFEB2745BD9611C8A7417CDF80",1)</f>
        <v>=DISPIMG("ID_24387ECFEB2745BD9611C8A7417CDF80",1)</v>
      </c>
      <c r="I12" s="41" t="s">
        <v>860</v>
      </c>
    </row>
    <row r="13" s="21" customFormat="1" ht="86" customHeight="1" spans="1:9">
      <c r="A13" s="51">
        <v>11</v>
      </c>
      <c r="B13" s="56" t="s">
        <v>861</v>
      </c>
      <c r="C13" s="57">
        <v>1</v>
      </c>
      <c r="D13" s="58" t="s">
        <v>862</v>
      </c>
      <c r="E13" s="51" t="s">
        <v>847</v>
      </c>
      <c r="F13" s="59"/>
      <c r="G13" s="27"/>
      <c r="H13" s="35" t="str">
        <f>_xlfn.DISPIMG("ID_D8654529C0604D65914DEE968039DE43",1)</f>
        <v>=DISPIMG("ID_D8654529C0604D65914DEE968039DE43",1)</v>
      </c>
      <c r="I13" s="41" t="s">
        <v>863</v>
      </c>
    </row>
    <row r="14" s="21" customFormat="1" ht="24.95" customHeight="1" spans="1:9">
      <c r="A14" s="26" t="s">
        <v>86</v>
      </c>
      <c r="B14" s="27"/>
      <c r="C14" s="27"/>
      <c r="D14" s="27"/>
      <c r="E14" s="27"/>
      <c r="F14" s="32"/>
      <c r="G14" s="27"/>
      <c r="H14" s="35"/>
      <c r="I14" s="41"/>
    </row>
    <row r="15" s="21" customFormat="1" spans="1:9">
      <c r="A15" s="22"/>
      <c r="B15" s="22"/>
      <c r="C15" s="22"/>
      <c r="D15" s="22"/>
      <c r="E15" s="22"/>
      <c r="F15" s="61"/>
      <c r="G15" s="22"/>
      <c r="I15" s="23"/>
    </row>
    <row r="16" s="21" customFormat="1" spans="1:9">
      <c r="A16" s="22"/>
      <c r="B16" s="22"/>
      <c r="C16" s="22"/>
      <c r="D16" s="22"/>
      <c r="E16" s="22"/>
      <c r="F16" s="61"/>
      <c r="G16" s="22"/>
      <c r="I16" s="23"/>
    </row>
    <row r="17" s="21" customFormat="1" spans="1:9">
      <c r="A17" s="22"/>
      <c r="B17" s="22"/>
      <c r="C17" s="22"/>
      <c r="D17" s="22"/>
      <c r="E17" s="22"/>
      <c r="F17" s="61"/>
      <c r="G17" s="22"/>
      <c r="I17" s="23"/>
    </row>
    <row r="18" s="21" customFormat="1" spans="1:9">
      <c r="A18" s="22"/>
      <c r="B18" s="22"/>
      <c r="C18" s="22"/>
      <c r="D18" s="22"/>
      <c r="E18" s="22"/>
      <c r="F18" s="61"/>
      <c r="G18" s="22"/>
      <c r="I18" s="23"/>
    </row>
    <row r="19" s="21" customFormat="1" spans="1:9">
      <c r="A19" s="22"/>
      <c r="B19" s="22"/>
      <c r="C19" s="22"/>
      <c r="D19" s="22"/>
      <c r="E19" s="22"/>
      <c r="F19" s="61"/>
      <c r="G19" s="22"/>
      <c r="I19" s="23"/>
    </row>
    <row r="20" s="21" customFormat="1" spans="1:9">
      <c r="A20" s="22"/>
      <c r="B20" s="22"/>
      <c r="C20" s="22"/>
      <c r="D20" s="22"/>
      <c r="E20" s="22"/>
      <c r="F20" s="61"/>
      <c r="G20" s="22"/>
      <c r="I20" s="23"/>
    </row>
    <row r="21" s="21" customFormat="1" spans="1:9">
      <c r="A21" s="22"/>
      <c r="B21" s="22"/>
      <c r="C21" s="22"/>
      <c r="D21" s="22"/>
      <c r="E21" s="22"/>
      <c r="F21" s="61"/>
      <c r="G21" s="22"/>
      <c r="I21" s="23"/>
    </row>
    <row r="22" s="21" customFormat="1" spans="1:9">
      <c r="A22" s="22"/>
      <c r="B22" s="22"/>
      <c r="C22" s="22"/>
      <c r="D22" s="22"/>
      <c r="E22" s="22"/>
      <c r="F22" s="61"/>
      <c r="G22" s="22"/>
      <c r="I22" s="23"/>
    </row>
    <row r="23" s="21" customFormat="1" spans="1:9">
      <c r="A23" s="22"/>
      <c r="B23" s="22"/>
      <c r="C23" s="22"/>
      <c r="D23" s="22"/>
      <c r="E23" s="22"/>
      <c r="F23" s="61"/>
      <c r="G23" s="22"/>
      <c r="I23" s="23"/>
    </row>
    <row r="24" s="21" customFormat="1" spans="1:9">
      <c r="A24" s="22"/>
      <c r="B24" s="22"/>
      <c r="C24" s="22"/>
      <c r="D24" s="22"/>
      <c r="E24" s="22"/>
      <c r="F24" s="61"/>
      <c r="G24" s="22"/>
      <c r="I24" s="23"/>
    </row>
    <row r="25" s="21" customFormat="1" spans="1:9">
      <c r="A25" s="22"/>
      <c r="B25" s="22"/>
      <c r="C25" s="22"/>
      <c r="D25" s="22"/>
      <c r="E25" s="22"/>
      <c r="F25" s="61"/>
      <c r="G25" s="22"/>
      <c r="I25" s="23"/>
    </row>
    <row r="26" s="21" customFormat="1" spans="1:9">
      <c r="A26" s="22"/>
      <c r="B26" s="22"/>
      <c r="C26" s="22"/>
      <c r="D26" s="22"/>
      <c r="E26" s="22"/>
      <c r="F26" s="61"/>
      <c r="G26" s="22"/>
      <c r="I26" s="23"/>
    </row>
    <row r="27" s="21" customFormat="1" spans="1:9">
      <c r="A27" s="22"/>
      <c r="B27" s="22"/>
      <c r="C27" s="22"/>
      <c r="D27" s="22"/>
      <c r="E27" s="22"/>
      <c r="F27" s="61"/>
      <c r="G27" s="22"/>
      <c r="I27" s="23"/>
    </row>
    <row r="28" s="21" customFormat="1" spans="1:9">
      <c r="A28" s="22"/>
      <c r="B28" s="22"/>
      <c r="C28" s="22"/>
      <c r="D28" s="22"/>
      <c r="E28" s="22"/>
      <c r="F28" s="61"/>
      <c r="G28" s="22"/>
      <c r="I28" s="23"/>
    </row>
    <row r="29" s="21" customFormat="1" spans="1:9">
      <c r="A29" s="22"/>
      <c r="B29" s="22"/>
      <c r="C29" s="22"/>
      <c r="D29" s="22"/>
      <c r="E29" s="22"/>
      <c r="F29" s="61"/>
      <c r="G29" s="22"/>
      <c r="I29" s="23"/>
    </row>
    <row r="30" s="21" customFormat="1" spans="1:9">
      <c r="A30" s="22"/>
      <c r="B30" s="22"/>
      <c r="C30" s="22"/>
      <c r="D30" s="22"/>
      <c r="E30" s="22"/>
      <c r="F30" s="61"/>
      <c r="G30" s="22"/>
      <c r="I30" s="23"/>
    </row>
    <row r="31" s="21" customFormat="1" spans="1:9">
      <c r="A31" s="22"/>
      <c r="B31" s="22"/>
      <c r="C31" s="22"/>
      <c r="D31" s="22"/>
      <c r="E31" s="22"/>
      <c r="F31" s="61"/>
      <c r="G31" s="22"/>
      <c r="I31" s="23"/>
    </row>
    <row r="32" s="21" customFormat="1" spans="1:9">
      <c r="A32" s="22"/>
      <c r="B32" s="22"/>
      <c r="C32" s="22"/>
      <c r="D32" s="22"/>
      <c r="E32" s="22"/>
      <c r="F32" s="61"/>
      <c r="G32" s="22"/>
      <c r="I32" s="23"/>
    </row>
    <row r="33" s="21" customFormat="1" spans="1:9">
      <c r="A33" s="22"/>
      <c r="B33" s="22"/>
      <c r="C33" s="22"/>
      <c r="D33" s="22"/>
      <c r="E33" s="22"/>
      <c r="F33" s="61"/>
      <c r="G33" s="22"/>
      <c r="I33" s="23"/>
    </row>
    <row r="34" s="21" customFormat="1" spans="1:9">
      <c r="A34" s="22"/>
      <c r="B34" s="22"/>
      <c r="C34" s="22"/>
      <c r="D34" s="22"/>
      <c r="E34" s="22"/>
      <c r="F34" s="61"/>
      <c r="G34" s="22"/>
      <c r="I34" s="23"/>
    </row>
    <row r="35" s="21" customFormat="1" spans="1:9">
      <c r="A35" s="22"/>
      <c r="B35" s="22"/>
      <c r="C35" s="22"/>
      <c r="D35" s="22"/>
      <c r="E35" s="22"/>
      <c r="F35" s="61"/>
      <c r="G35" s="22"/>
      <c r="I35" s="23"/>
    </row>
    <row r="36" s="21" customFormat="1" spans="1:9">
      <c r="A36" s="22"/>
      <c r="B36" s="22"/>
      <c r="C36" s="22"/>
      <c r="D36" s="22"/>
      <c r="E36" s="22"/>
      <c r="F36" s="61"/>
      <c r="G36" s="22"/>
      <c r="I36" s="23"/>
    </row>
    <row r="37" s="21" customFormat="1" spans="1:9">
      <c r="A37" s="22"/>
      <c r="B37" s="22"/>
      <c r="C37" s="22"/>
      <c r="D37" s="22"/>
      <c r="E37" s="22"/>
      <c r="F37" s="61"/>
      <c r="G37" s="22"/>
      <c r="I37" s="23"/>
    </row>
    <row r="38" s="21" customFormat="1" spans="1:9">
      <c r="A38" s="22"/>
      <c r="B38" s="22"/>
      <c r="C38" s="22"/>
      <c r="D38" s="22"/>
      <c r="E38" s="22"/>
      <c r="F38" s="61"/>
      <c r="G38" s="22"/>
      <c r="I38" s="23"/>
    </row>
    <row r="39" s="21" customFormat="1" spans="1:9">
      <c r="A39" s="22"/>
      <c r="B39" s="22"/>
      <c r="C39" s="22"/>
      <c r="D39" s="22"/>
      <c r="E39" s="22"/>
      <c r="F39" s="61"/>
      <c r="G39" s="22"/>
      <c r="I39" s="23"/>
    </row>
    <row r="40" s="21" customFormat="1" spans="1:9">
      <c r="A40" s="22"/>
      <c r="B40" s="22"/>
      <c r="C40" s="22"/>
      <c r="D40" s="22"/>
      <c r="E40" s="22"/>
      <c r="F40" s="61"/>
      <c r="G40" s="22"/>
      <c r="I40" s="23"/>
    </row>
    <row r="41" s="21" customFormat="1" spans="1:9">
      <c r="A41" s="22"/>
      <c r="B41" s="22"/>
      <c r="C41" s="22"/>
      <c r="D41" s="22"/>
      <c r="E41" s="22"/>
      <c r="F41" s="61"/>
      <c r="G41" s="22"/>
      <c r="I41" s="23"/>
    </row>
    <row r="42" s="21" customFormat="1" spans="1:9">
      <c r="A42" s="22"/>
      <c r="B42" s="22"/>
      <c r="C42" s="22"/>
      <c r="D42" s="22"/>
      <c r="E42" s="22"/>
      <c r="F42" s="61"/>
      <c r="G42" s="22"/>
      <c r="I42" s="23"/>
    </row>
    <row r="43" s="21" customFormat="1" spans="1:9">
      <c r="A43" s="22"/>
      <c r="B43" s="22"/>
      <c r="C43" s="22"/>
      <c r="D43" s="22"/>
      <c r="E43" s="22"/>
      <c r="F43" s="61"/>
      <c r="G43" s="22"/>
      <c r="I43" s="23"/>
    </row>
    <row r="44" s="21" customFormat="1" spans="1:9">
      <c r="A44" s="22"/>
      <c r="B44" s="22"/>
      <c r="C44" s="22"/>
      <c r="D44" s="22"/>
      <c r="E44" s="22"/>
      <c r="F44" s="61"/>
      <c r="G44" s="22"/>
      <c r="I44" s="23"/>
    </row>
    <row r="45" s="21" customFormat="1" spans="1:9">
      <c r="A45" s="22"/>
      <c r="B45" s="22"/>
      <c r="C45" s="22"/>
      <c r="D45" s="22"/>
      <c r="E45" s="22"/>
      <c r="F45" s="61"/>
      <c r="G45" s="22"/>
      <c r="I45" s="23"/>
    </row>
  </sheetData>
  <mergeCells count="2">
    <mergeCell ref="A1:I1"/>
    <mergeCell ref="B14:H14"/>
  </mergeCells>
  <pageMargins left="0.75" right="0.75" top="1" bottom="1" header="0.5" footer="0.5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0"/>
  <sheetViews>
    <sheetView zoomScale="40" zoomScaleNormal="40" workbookViewId="0">
      <selection activeCell="B19" sqref="B19:I19"/>
    </sheetView>
  </sheetViews>
  <sheetFormatPr defaultColWidth="9" defaultRowHeight="17.6"/>
  <cols>
    <col min="1" max="1" width="11.1327433628319" style="21" customWidth="1"/>
    <col min="2" max="2" width="19.2477876106195" style="21" customWidth="1"/>
    <col min="3" max="3" width="12.8761061946903" style="21" customWidth="1"/>
    <col min="4" max="5" width="20.8761061946903" style="21" customWidth="1"/>
    <col min="6" max="6" width="19.6283185840708" style="21" customWidth="1"/>
    <col min="7" max="7" width="24.7522123893805" style="22" customWidth="1"/>
    <col min="8" max="8" width="26.8761061946903" style="21" customWidth="1"/>
    <col min="9" max="9" width="16.3805309734513" style="23" customWidth="1"/>
    <col min="10" max="16384" width="9" style="21"/>
  </cols>
  <sheetData>
    <row r="1" s="21" customFormat="1" ht="31" customHeight="1" spans="1:9">
      <c r="A1" s="24" t="s">
        <v>864</v>
      </c>
      <c r="B1" s="25"/>
      <c r="C1" s="25"/>
      <c r="D1" s="25"/>
      <c r="E1" s="25"/>
      <c r="F1" s="25"/>
      <c r="G1" s="25"/>
      <c r="H1" s="25"/>
      <c r="I1" s="39"/>
    </row>
    <row r="2" s="21" customFormat="1" ht="17.65" spans="1:9">
      <c r="A2" s="26" t="s">
        <v>1</v>
      </c>
      <c r="B2" s="26" t="s">
        <v>25</v>
      </c>
      <c r="C2" s="26" t="s">
        <v>3</v>
      </c>
      <c r="D2" s="26" t="s">
        <v>26</v>
      </c>
      <c r="E2" s="26" t="s">
        <v>27</v>
      </c>
      <c r="F2" s="26" t="s">
        <v>28</v>
      </c>
      <c r="G2" s="26" t="s">
        <v>29</v>
      </c>
      <c r="H2" s="26" t="s">
        <v>30</v>
      </c>
      <c r="I2" s="40" t="s">
        <v>31</v>
      </c>
    </row>
    <row r="3" s="21" customFormat="1" ht="55.5" customHeight="1" spans="1:9">
      <c r="A3" s="27">
        <v>1</v>
      </c>
      <c r="B3" s="28" t="s">
        <v>160</v>
      </c>
      <c r="C3" s="28">
        <v>2</v>
      </c>
      <c r="D3" s="28" t="s">
        <v>865</v>
      </c>
      <c r="E3" s="29" t="s">
        <v>866</v>
      </c>
      <c r="F3" s="28"/>
      <c r="G3" s="28"/>
      <c r="H3" s="27" t="str">
        <f>_xlfn.DISPIMG("ID_97EA79C163854B4EBDAC8ACB4870CD02",1)</f>
        <v>=DISPIMG("ID_97EA79C163854B4EBDAC8ACB4870CD02",1)</v>
      </c>
      <c r="I3" s="41" t="s">
        <v>54</v>
      </c>
    </row>
    <row r="4" s="21" customFormat="1" ht="65" customHeight="1" spans="1:9">
      <c r="A4" s="27">
        <v>2</v>
      </c>
      <c r="B4" s="27" t="s">
        <v>867</v>
      </c>
      <c r="C4" s="27">
        <v>1</v>
      </c>
      <c r="D4" s="27" t="s">
        <v>868</v>
      </c>
      <c r="E4" s="27" t="s">
        <v>869</v>
      </c>
      <c r="F4" s="27"/>
      <c r="G4" s="27"/>
      <c r="H4" s="27" t="str">
        <f>_xlfn.DISPIMG("ID_B64D57A50D1C4314B0A348B674255AD4",1)</f>
        <v>=DISPIMG("ID_B64D57A50D1C4314B0A348B674255AD4",1)</v>
      </c>
      <c r="I4" s="41"/>
    </row>
    <row r="5" s="21" customFormat="1" ht="84" customHeight="1" spans="1:9">
      <c r="A5" s="27">
        <v>3</v>
      </c>
      <c r="B5" s="27" t="s">
        <v>159</v>
      </c>
      <c r="C5" s="27">
        <v>33</v>
      </c>
      <c r="D5" s="27" t="s">
        <v>870</v>
      </c>
      <c r="E5" s="27" t="s">
        <v>871</v>
      </c>
      <c r="F5" s="27"/>
      <c r="G5" s="27"/>
      <c r="H5" s="30" t="str">
        <f>_xlfn.DISPIMG("ID_40821ED9B128462EB4CE7966BCD2ED38",1)</f>
        <v>=DISPIMG("ID_40821ED9B128462EB4CE7966BCD2ED38",1)</v>
      </c>
      <c r="I5" s="42" t="s">
        <v>189</v>
      </c>
    </row>
    <row r="6" s="21" customFormat="1" ht="86.25" spans="1:9">
      <c r="A6" s="27">
        <v>4</v>
      </c>
      <c r="B6" s="27" t="s">
        <v>159</v>
      </c>
      <c r="C6" s="27">
        <v>14</v>
      </c>
      <c r="D6" s="27" t="s">
        <v>870</v>
      </c>
      <c r="E6" s="27" t="s">
        <v>872</v>
      </c>
      <c r="F6" s="27"/>
      <c r="G6" s="27"/>
      <c r="H6" s="27" t="str">
        <f>_xlfn.DISPIMG("ID_DFD7F52901C74279945ED22FB2612909",1)</f>
        <v>=DISPIMG("ID_DFD7F52901C74279945ED22FB2612909",1)</v>
      </c>
      <c r="I6" s="43"/>
    </row>
    <row r="7" s="21" customFormat="1" ht="86.25" spans="1:9">
      <c r="A7" s="27">
        <v>5</v>
      </c>
      <c r="B7" s="28" t="s">
        <v>159</v>
      </c>
      <c r="C7" s="28">
        <v>6</v>
      </c>
      <c r="D7" s="29" t="s">
        <v>870</v>
      </c>
      <c r="E7" s="28" t="s">
        <v>873</v>
      </c>
      <c r="F7" s="28"/>
      <c r="G7" s="27"/>
      <c r="H7" s="27" t="str">
        <f>_xlfn.DISPIMG("ID_F1AA18F533CB4A8FBC9021AB8F741677",1)</f>
        <v>=DISPIMG("ID_F1AA18F533CB4A8FBC9021AB8F741677",1)</v>
      </c>
      <c r="I7" s="43"/>
    </row>
    <row r="8" s="21" customFormat="1" ht="52.5" customHeight="1" spans="1:9">
      <c r="A8" s="27">
        <v>6</v>
      </c>
      <c r="B8" s="28" t="s">
        <v>159</v>
      </c>
      <c r="C8" s="28">
        <v>9</v>
      </c>
      <c r="D8" s="28" t="s">
        <v>870</v>
      </c>
      <c r="E8" s="29" t="s">
        <v>874</v>
      </c>
      <c r="F8" s="28"/>
      <c r="G8" s="28"/>
      <c r="H8" s="27" t="str">
        <f>_xlfn.DISPIMG("ID_912758366E1D481CA64CCF0665A1CC4D",1)</f>
        <v>=DISPIMG("ID_912758366E1D481CA64CCF0665A1CC4D",1)</v>
      </c>
      <c r="I8" s="44"/>
    </row>
    <row r="9" s="21" customFormat="1" ht="73.5" spans="1:9">
      <c r="A9" s="27">
        <v>7</v>
      </c>
      <c r="B9" s="31" t="s">
        <v>36</v>
      </c>
      <c r="C9" s="31">
        <v>7</v>
      </c>
      <c r="D9" s="31" t="s">
        <v>875</v>
      </c>
      <c r="E9" s="31" t="s">
        <v>872</v>
      </c>
      <c r="F9" s="31"/>
      <c r="G9" s="32"/>
      <c r="H9" s="27" t="str">
        <f>_xlfn.DISPIMG("ID_6496195A6894434CA6E9B2F87B3F8C5D",1)</f>
        <v>=DISPIMG("ID_6496195A6894434CA6E9B2F87B3F8C5D",1)</v>
      </c>
      <c r="I9" s="42" t="s">
        <v>828</v>
      </c>
    </row>
    <row r="10" s="21" customFormat="1" ht="73.5" spans="1:9">
      <c r="A10" s="27">
        <v>8</v>
      </c>
      <c r="B10" s="31" t="s">
        <v>36</v>
      </c>
      <c r="C10" s="31">
        <v>6</v>
      </c>
      <c r="D10" s="31" t="s">
        <v>875</v>
      </c>
      <c r="E10" s="31" t="s">
        <v>873</v>
      </c>
      <c r="F10" s="31"/>
      <c r="G10" s="32"/>
      <c r="H10" s="27" t="str">
        <f>_xlfn.DISPIMG("ID_6496195A6894434CA6E9B2F87B3F8C5D",1)</f>
        <v>=DISPIMG("ID_6496195A6894434CA6E9B2F87B3F8C5D",1)</v>
      </c>
      <c r="I10" s="43"/>
    </row>
    <row r="11" s="21" customFormat="1" ht="57" customHeight="1" spans="1:9">
      <c r="A11" s="27">
        <v>9</v>
      </c>
      <c r="B11" s="31" t="s">
        <v>36</v>
      </c>
      <c r="C11" s="31">
        <v>2</v>
      </c>
      <c r="D11" s="31" t="s">
        <v>876</v>
      </c>
      <c r="E11" s="33" t="s">
        <v>866</v>
      </c>
      <c r="F11" s="31"/>
      <c r="G11" s="31"/>
      <c r="H11" s="27" t="str">
        <f>_xlfn.DISPIMG("ID_07AD535818464C8492330214757ED33D",1)</f>
        <v>=DISPIMG("ID_07AD535818464C8492330214757ED33D",1)</v>
      </c>
      <c r="I11" s="44"/>
    </row>
    <row r="12" s="21" customFormat="1" ht="84" customHeight="1" spans="1:9">
      <c r="A12" s="27">
        <v>10</v>
      </c>
      <c r="B12" s="27" t="s">
        <v>877</v>
      </c>
      <c r="C12" s="27">
        <v>35</v>
      </c>
      <c r="D12" s="27" t="s">
        <v>878</v>
      </c>
      <c r="E12" s="27" t="s">
        <v>879</v>
      </c>
      <c r="F12" s="27"/>
      <c r="G12" s="27"/>
      <c r="H12" s="30" t="str">
        <f>_xlfn.DISPIMG("ID_E2D61330DDE34107A99822D3C5AA2555",1)</f>
        <v>=DISPIMG("ID_E2D61330DDE34107A99822D3C5AA2555",1)</v>
      </c>
      <c r="I12" s="42" t="s">
        <v>189</v>
      </c>
    </row>
    <row r="13" s="21" customFormat="1" ht="84" customHeight="1" spans="1:9">
      <c r="A13" s="27">
        <v>11</v>
      </c>
      <c r="B13" s="28" t="s">
        <v>877</v>
      </c>
      <c r="C13" s="28">
        <v>14</v>
      </c>
      <c r="D13" s="28" t="s">
        <v>878</v>
      </c>
      <c r="E13" s="28" t="s">
        <v>872</v>
      </c>
      <c r="F13" s="28"/>
      <c r="G13" s="27"/>
      <c r="H13" s="30" t="str">
        <f>_xlfn.DISPIMG("ID_4D3E3CAF454D436CB552DC83DBB35C3A",1)</f>
        <v>=DISPIMG("ID_4D3E3CAF454D436CB552DC83DBB35C3A",1)</v>
      </c>
      <c r="I13" s="43"/>
    </row>
    <row r="14" s="21" customFormat="1" ht="84" customHeight="1" spans="1:9">
      <c r="A14" s="27">
        <v>12</v>
      </c>
      <c r="B14" s="28" t="s">
        <v>877</v>
      </c>
      <c r="C14" s="28">
        <v>6</v>
      </c>
      <c r="D14" s="28" t="s">
        <v>878</v>
      </c>
      <c r="E14" s="28" t="s">
        <v>873</v>
      </c>
      <c r="F14" s="28"/>
      <c r="G14" s="27"/>
      <c r="H14" s="30" t="str">
        <f>_xlfn.DISPIMG("ID_4D3E3CAF454D436CB552DC83DBB35C3A",1)</f>
        <v>=DISPIMG("ID_4D3E3CAF454D436CB552DC83DBB35C3A",1)</v>
      </c>
      <c r="I14" s="44"/>
    </row>
    <row r="15" s="21" customFormat="1" ht="84" customHeight="1" spans="1:9">
      <c r="A15" s="27">
        <v>13</v>
      </c>
      <c r="B15" s="27" t="s">
        <v>880</v>
      </c>
      <c r="C15" s="27">
        <v>25</v>
      </c>
      <c r="D15" s="27" t="s">
        <v>881</v>
      </c>
      <c r="E15" s="27" t="s">
        <v>882</v>
      </c>
      <c r="F15" s="27"/>
      <c r="G15" s="27"/>
      <c r="H15" s="30" t="str">
        <f>_xlfn.DISPIMG("ID_E4CC843B00004BFD821E31B6BD05B937",1)</f>
        <v>=DISPIMG("ID_E4CC843B00004BFD821E31B6BD05B937",1)</v>
      </c>
      <c r="I15" s="42" t="s">
        <v>69</v>
      </c>
    </row>
    <row r="16" s="21" customFormat="1" ht="84" customHeight="1" spans="1:9">
      <c r="A16" s="27">
        <v>14</v>
      </c>
      <c r="B16" s="28" t="s">
        <v>880</v>
      </c>
      <c r="C16" s="28">
        <v>14</v>
      </c>
      <c r="D16" s="28" t="s">
        <v>881</v>
      </c>
      <c r="E16" s="28" t="s">
        <v>872</v>
      </c>
      <c r="F16" s="28"/>
      <c r="G16" s="27"/>
      <c r="H16" s="34" t="str">
        <f>_xlfn.DISPIMG("ID_C4E893D9257049828505509704757A61",1)</f>
        <v>=DISPIMG("ID_C4E893D9257049828505509704757A61",1)</v>
      </c>
      <c r="I16" s="43"/>
    </row>
    <row r="17" s="21" customFormat="1" ht="84" customHeight="1" spans="1:9">
      <c r="A17" s="27">
        <v>15</v>
      </c>
      <c r="B17" s="28" t="s">
        <v>880</v>
      </c>
      <c r="C17" s="28">
        <v>6</v>
      </c>
      <c r="D17" s="28" t="s">
        <v>881</v>
      </c>
      <c r="E17" s="28" t="s">
        <v>873</v>
      </c>
      <c r="F17" s="28"/>
      <c r="G17" s="27"/>
      <c r="H17" s="34" t="str">
        <f>_xlfn.DISPIMG("ID_C4E893D9257049828505509704757A61",1)</f>
        <v>=DISPIMG("ID_C4E893D9257049828505509704757A61",1)</v>
      </c>
      <c r="I17" s="44"/>
    </row>
    <row r="18" s="21" customFormat="1" ht="43.5" customHeight="1" spans="1:9">
      <c r="A18" s="27">
        <v>16</v>
      </c>
      <c r="B18" s="28" t="s">
        <v>883</v>
      </c>
      <c r="C18" s="28">
        <v>4</v>
      </c>
      <c r="D18" s="28" t="s">
        <v>884</v>
      </c>
      <c r="E18" s="29" t="s">
        <v>885</v>
      </c>
      <c r="F18" s="28"/>
      <c r="G18" s="28"/>
      <c r="H18" s="27" t="str">
        <f>_xlfn.DISPIMG("ID_C5B2C015E4CE4E88ABE9D128A67CE4EB",1)</f>
        <v>=DISPIMG("ID_C5B2C015E4CE4E88ABE9D128A67CE4EB",1)</v>
      </c>
      <c r="I18" s="41" t="s">
        <v>83</v>
      </c>
    </row>
    <row r="19" s="21" customFormat="1" ht="25" customHeight="1" spans="1:9">
      <c r="A19" s="26" t="s">
        <v>86</v>
      </c>
      <c r="B19" s="35"/>
      <c r="C19" s="36"/>
      <c r="D19" s="36"/>
      <c r="E19" s="36"/>
      <c r="F19" s="36"/>
      <c r="G19" s="36"/>
      <c r="H19" s="36"/>
      <c r="I19" s="45"/>
    </row>
    <row r="20" s="21" customFormat="1" spans="1:9">
      <c r="A20" s="37"/>
      <c r="B20" s="37"/>
      <c r="C20" s="37"/>
      <c r="D20" s="37"/>
      <c r="E20" s="37"/>
      <c r="F20" s="37"/>
      <c r="G20" s="37"/>
      <c r="H20" s="38"/>
      <c r="I20" s="23"/>
    </row>
    <row r="21" s="21" customFormat="1" spans="1:9">
      <c r="A21" s="37"/>
      <c r="B21" s="37"/>
      <c r="C21" s="37"/>
      <c r="D21" s="37"/>
      <c r="E21" s="37"/>
      <c r="F21" s="37"/>
      <c r="G21" s="37"/>
      <c r="H21" s="38"/>
      <c r="I21" s="23"/>
    </row>
    <row r="22" s="21" customFormat="1" spans="1:9">
      <c r="A22" s="37"/>
      <c r="B22" s="37"/>
      <c r="C22" s="37"/>
      <c r="D22" s="37"/>
      <c r="E22" s="37"/>
      <c r="F22" s="37"/>
      <c r="G22" s="37"/>
      <c r="H22" s="38"/>
      <c r="I22" s="23"/>
    </row>
    <row r="23" s="21" customFormat="1" spans="1:9">
      <c r="A23" s="37"/>
      <c r="B23" s="37"/>
      <c r="C23" s="37"/>
      <c r="D23" s="37"/>
      <c r="E23" s="37"/>
      <c r="F23" s="37"/>
      <c r="G23" s="37"/>
      <c r="H23" s="38"/>
      <c r="I23" s="23"/>
    </row>
    <row r="24" s="21" customFormat="1" spans="1:9">
      <c r="A24" s="37"/>
      <c r="B24" s="37"/>
      <c r="C24" s="37"/>
      <c r="D24" s="37"/>
      <c r="E24" s="37"/>
      <c r="F24" s="37"/>
      <c r="G24" s="37"/>
      <c r="H24" s="38"/>
      <c r="I24" s="23"/>
    </row>
    <row r="25" s="21" customFormat="1" spans="1:9">
      <c r="A25" s="37"/>
      <c r="B25" s="37"/>
      <c r="C25" s="37"/>
      <c r="D25" s="37"/>
      <c r="E25" s="37"/>
      <c r="F25" s="37"/>
      <c r="G25" s="37"/>
      <c r="H25" s="38"/>
      <c r="I25" s="23"/>
    </row>
    <row r="26" s="21" customFormat="1" spans="1:9">
      <c r="A26" s="37"/>
      <c r="B26" s="37"/>
      <c r="C26" s="37"/>
      <c r="D26" s="37"/>
      <c r="E26" s="37"/>
      <c r="F26" s="37"/>
      <c r="G26" s="37"/>
      <c r="H26" s="38"/>
      <c r="I26" s="23"/>
    </row>
    <row r="27" s="21" customFormat="1" spans="1:9">
      <c r="A27" s="37"/>
      <c r="B27" s="37"/>
      <c r="C27" s="37"/>
      <c r="D27" s="37"/>
      <c r="E27" s="37"/>
      <c r="F27" s="37"/>
      <c r="G27" s="37"/>
      <c r="H27" s="38"/>
      <c r="I27" s="23"/>
    </row>
    <row r="28" s="21" customFormat="1" spans="1:9">
      <c r="A28" s="37"/>
      <c r="B28" s="37"/>
      <c r="C28" s="37"/>
      <c r="D28" s="37"/>
      <c r="E28" s="37"/>
      <c r="F28" s="37"/>
      <c r="G28" s="37"/>
      <c r="H28" s="38"/>
      <c r="I28" s="23"/>
    </row>
    <row r="29" s="21" customFormat="1" spans="1:9">
      <c r="A29" s="37"/>
      <c r="B29" s="37"/>
      <c r="C29" s="37"/>
      <c r="D29" s="37"/>
      <c r="E29" s="37"/>
      <c r="F29" s="37"/>
      <c r="G29" s="37"/>
      <c r="H29" s="38"/>
      <c r="I29" s="23"/>
    </row>
    <row r="30" s="21" customFormat="1" spans="1:9">
      <c r="A30" s="37"/>
      <c r="B30" s="37"/>
      <c r="C30" s="37"/>
      <c r="D30" s="37"/>
      <c r="E30" s="37"/>
      <c r="F30" s="37"/>
      <c r="G30" s="37"/>
      <c r="H30" s="38"/>
      <c r="I30" s="23"/>
    </row>
    <row r="31" s="21" customFormat="1" spans="1:9">
      <c r="A31" s="37"/>
      <c r="B31" s="37"/>
      <c r="C31" s="37"/>
      <c r="D31" s="37"/>
      <c r="E31" s="37"/>
      <c r="F31" s="37"/>
      <c r="G31" s="37"/>
      <c r="H31" s="38"/>
      <c r="I31" s="23"/>
    </row>
    <row r="32" s="21" customFormat="1" spans="1:9">
      <c r="A32" s="37"/>
      <c r="B32" s="37"/>
      <c r="C32" s="37"/>
      <c r="D32" s="37"/>
      <c r="E32" s="37"/>
      <c r="F32" s="37"/>
      <c r="G32" s="37"/>
      <c r="H32" s="38"/>
      <c r="I32" s="23"/>
    </row>
    <row r="33" s="21" customFormat="1" spans="1:9">
      <c r="A33" s="37"/>
      <c r="B33" s="37"/>
      <c r="C33" s="37"/>
      <c r="D33" s="37"/>
      <c r="E33" s="37"/>
      <c r="F33" s="37"/>
      <c r="G33" s="37"/>
      <c r="H33" s="38"/>
      <c r="I33" s="23"/>
    </row>
    <row r="34" s="21" customFormat="1" spans="1:9">
      <c r="A34" s="37"/>
      <c r="B34" s="37"/>
      <c r="C34" s="37"/>
      <c r="D34" s="37"/>
      <c r="E34" s="37"/>
      <c r="F34" s="37"/>
      <c r="G34" s="37"/>
      <c r="H34" s="38"/>
      <c r="I34" s="23"/>
    </row>
    <row r="35" s="21" customFormat="1" spans="1:9">
      <c r="A35" s="37"/>
      <c r="B35" s="37"/>
      <c r="C35" s="37"/>
      <c r="D35" s="37"/>
      <c r="E35" s="37"/>
      <c r="F35" s="37"/>
      <c r="G35" s="37"/>
      <c r="H35" s="38"/>
      <c r="I35" s="23"/>
    </row>
    <row r="36" s="21" customFormat="1" spans="1:9">
      <c r="A36" s="37"/>
      <c r="B36" s="37"/>
      <c r="C36" s="37"/>
      <c r="D36" s="37"/>
      <c r="E36" s="37"/>
      <c r="F36" s="37"/>
      <c r="G36" s="37"/>
      <c r="H36" s="38"/>
      <c r="I36" s="23"/>
    </row>
    <row r="37" s="21" customFormat="1" spans="1:9">
      <c r="A37" s="37"/>
      <c r="B37" s="37"/>
      <c r="C37" s="37"/>
      <c r="D37" s="37"/>
      <c r="E37" s="37"/>
      <c r="F37" s="37"/>
      <c r="G37" s="37"/>
      <c r="H37" s="38"/>
      <c r="I37" s="23"/>
    </row>
    <row r="38" s="21" customFormat="1" spans="1:9">
      <c r="A38" s="37"/>
      <c r="B38" s="37"/>
      <c r="C38" s="37"/>
      <c r="D38" s="37"/>
      <c r="E38" s="37"/>
      <c r="F38" s="37"/>
      <c r="G38" s="37"/>
      <c r="H38" s="38"/>
      <c r="I38" s="23"/>
    </row>
    <row r="39" s="21" customFormat="1" spans="1:9">
      <c r="A39" s="37"/>
      <c r="B39" s="37"/>
      <c r="C39" s="37"/>
      <c r="D39" s="37"/>
      <c r="E39" s="37"/>
      <c r="F39" s="37"/>
      <c r="G39" s="37"/>
      <c r="H39" s="38"/>
      <c r="I39" s="23"/>
    </row>
    <row r="40" s="21" customFormat="1" spans="1:9">
      <c r="A40" s="22"/>
      <c r="B40" s="22"/>
      <c r="C40" s="22"/>
      <c r="D40" s="22"/>
      <c r="E40" s="22"/>
      <c r="F40" s="22"/>
      <c r="G40" s="22"/>
      <c r="I40" s="23"/>
    </row>
    <row r="41" s="21" customFormat="1" spans="1:9">
      <c r="A41" s="22"/>
      <c r="B41" s="22"/>
      <c r="C41" s="22"/>
      <c r="D41" s="22"/>
      <c r="E41" s="22"/>
      <c r="F41" s="22"/>
      <c r="G41" s="22"/>
      <c r="I41" s="23"/>
    </row>
    <row r="42" s="21" customFormat="1" spans="1:9">
      <c r="A42" s="22"/>
      <c r="B42" s="22"/>
      <c r="C42" s="22"/>
      <c r="D42" s="22"/>
      <c r="E42" s="22"/>
      <c r="F42" s="22"/>
      <c r="G42" s="22"/>
      <c r="I42" s="23"/>
    </row>
    <row r="43" s="21" customFormat="1" spans="1:9">
      <c r="A43" s="22"/>
      <c r="B43" s="22"/>
      <c r="C43" s="22"/>
      <c r="D43" s="22"/>
      <c r="E43" s="22"/>
      <c r="F43" s="22"/>
      <c r="G43" s="22"/>
      <c r="I43" s="23"/>
    </row>
    <row r="44" s="21" customFormat="1" spans="1:9">
      <c r="A44" s="22"/>
      <c r="B44" s="22"/>
      <c r="C44" s="22"/>
      <c r="D44" s="22"/>
      <c r="E44" s="22"/>
      <c r="F44" s="22"/>
      <c r="G44" s="22"/>
      <c r="I44" s="23"/>
    </row>
    <row r="45" s="21" customFormat="1" spans="1:9">
      <c r="A45" s="22"/>
      <c r="B45" s="22"/>
      <c r="C45" s="22"/>
      <c r="D45" s="22"/>
      <c r="E45" s="22"/>
      <c r="F45" s="22"/>
      <c r="G45" s="22"/>
      <c r="I45" s="23"/>
    </row>
    <row r="46" s="21" customFormat="1" spans="1:9">
      <c r="A46" s="22"/>
      <c r="B46" s="22"/>
      <c r="C46" s="22"/>
      <c r="D46" s="22"/>
      <c r="E46" s="22"/>
      <c r="F46" s="22"/>
      <c r="G46" s="22"/>
      <c r="I46" s="23"/>
    </row>
    <row r="47" s="21" customFormat="1" spans="1:9">
      <c r="A47" s="22"/>
      <c r="B47" s="22"/>
      <c r="C47" s="22"/>
      <c r="D47" s="22"/>
      <c r="E47" s="22"/>
      <c r="F47" s="22"/>
      <c r="G47" s="22"/>
      <c r="I47" s="23"/>
    </row>
    <row r="48" s="21" customFormat="1" spans="1:9">
      <c r="A48" s="22"/>
      <c r="B48" s="22"/>
      <c r="C48" s="22"/>
      <c r="D48" s="22"/>
      <c r="E48" s="22"/>
      <c r="F48" s="22"/>
      <c r="G48" s="22"/>
      <c r="I48" s="23"/>
    </row>
    <row r="49" s="21" customFormat="1" spans="1:9">
      <c r="A49" s="22"/>
      <c r="B49" s="22"/>
      <c r="C49" s="22"/>
      <c r="D49" s="22"/>
      <c r="E49" s="22"/>
      <c r="F49" s="22"/>
      <c r="G49" s="22"/>
      <c r="I49" s="23"/>
    </row>
    <row r="50" s="21" customFormat="1" spans="1:9">
      <c r="A50" s="22"/>
      <c r="B50" s="22"/>
      <c r="C50" s="22"/>
      <c r="D50" s="22"/>
      <c r="E50" s="22"/>
      <c r="F50" s="22"/>
      <c r="G50" s="22"/>
      <c r="I50" s="23"/>
    </row>
  </sheetData>
  <mergeCells count="6">
    <mergeCell ref="A1:I1"/>
    <mergeCell ref="B19:I19"/>
    <mergeCell ref="I5:I8"/>
    <mergeCell ref="I9:I11"/>
    <mergeCell ref="I12:I14"/>
    <mergeCell ref="I15:I17"/>
  </mergeCells>
  <pageMargins left="0.75" right="0.75" top="1" bottom="1" header="0.5" footer="0.5"/>
  <headerFooter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8"/>
  <sheetViews>
    <sheetView tabSelected="1" zoomScale="40" zoomScaleNormal="40" workbookViewId="0">
      <selection activeCell="B17" sqref="B17:H17"/>
    </sheetView>
  </sheetViews>
  <sheetFormatPr defaultColWidth="9" defaultRowHeight="17.6"/>
  <cols>
    <col min="1" max="1" width="11.1327433628319" style="1" customWidth="1"/>
    <col min="2" max="2" width="19.2477876106195" style="1" customWidth="1"/>
    <col min="3" max="3" width="12.8761061946903" style="1" customWidth="1"/>
    <col min="4" max="5" width="20.8761061946903" style="1" customWidth="1"/>
    <col min="6" max="6" width="19.6283185840708" style="2" customWidth="1"/>
    <col min="7" max="7" width="24.7522123893805" style="2" customWidth="1"/>
    <col min="8" max="8" width="26.8761061946903" style="1" customWidth="1"/>
    <col min="9" max="9" width="16.3805309734513" style="3" customWidth="1"/>
    <col min="10" max="10" width="21.3805309734513" style="1" customWidth="1"/>
    <col min="11" max="16384" width="9" style="1"/>
  </cols>
  <sheetData>
    <row r="1" s="1" customFormat="1" ht="31" customHeight="1" spans="1:9">
      <c r="A1" s="4" t="s">
        <v>886</v>
      </c>
      <c r="B1" s="5"/>
      <c r="C1" s="5"/>
      <c r="D1" s="5"/>
      <c r="E1" s="5"/>
      <c r="F1" s="5"/>
      <c r="G1" s="5"/>
      <c r="H1" s="5"/>
      <c r="I1" s="18"/>
    </row>
    <row r="2" s="1" customFormat="1" ht="17.65" spans="1:9">
      <c r="A2" s="6" t="s">
        <v>1</v>
      </c>
      <c r="B2" s="6" t="s">
        <v>25</v>
      </c>
      <c r="C2" s="6" t="s">
        <v>3</v>
      </c>
      <c r="D2" s="6" t="s">
        <v>26</v>
      </c>
      <c r="E2" s="6" t="s">
        <v>27</v>
      </c>
      <c r="F2" s="6" t="s">
        <v>28</v>
      </c>
      <c r="G2" s="6" t="s">
        <v>29</v>
      </c>
      <c r="H2" s="6" t="s">
        <v>30</v>
      </c>
      <c r="I2" s="19" t="s">
        <v>31</v>
      </c>
    </row>
    <row r="3" s="1" customFormat="1" ht="69" customHeight="1" spans="1:10">
      <c r="A3" s="7">
        <v>1</v>
      </c>
      <c r="B3" s="7" t="s">
        <v>887</v>
      </c>
      <c r="C3" s="7">
        <v>1</v>
      </c>
      <c r="D3" s="7" t="s">
        <v>888</v>
      </c>
      <c r="E3" s="7" t="s">
        <v>889</v>
      </c>
      <c r="F3" s="2"/>
      <c r="G3" s="7"/>
      <c r="H3" s="8" t="str">
        <f>_xlfn.DISPIMG("ID_84EA77897C914CF298134416DEA55ECA",1)</f>
        <v>=DISPIMG("ID_84EA77897C914CF298134416DEA55ECA",1)</v>
      </c>
      <c r="I3" s="13" t="s">
        <v>189</v>
      </c>
      <c r="J3" s="3" t="s">
        <v>890</v>
      </c>
    </row>
    <row r="4" s="1" customFormat="1" ht="78.75" spans="1:9">
      <c r="A4" s="9">
        <v>2</v>
      </c>
      <c r="B4" s="2" t="s">
        <v>159</v>
      </c>
      <c r="C4" s="9">
        <v>23</v>
      </c>
      <c r="D4" s="9" t="s">
        <v>891</v>
      </c>
      <c r="E4" s="9" t="s">
        <v>892</v>
      </c>
      <c r="F4" s="9"/>
      <c r="G4" s="9"/>
      <c r="H4" s="10" t="str">
        <f>_xlfn.DISPIMG("ID_DE770F73B4AF495DA83BBB26B9C52117",1)</f>
        <v>=DISPIMG("ID_DE770F73B4AF495DA83BBB26B9C52117",1)</v>
      </c>
      <c r="I4" s="13" t="s">
        <v>189</v>
      </c>
    </row>
    <row r="5" s="1" customFormat="1" ht="67.1" spans="1:9">
      <c r="A5" s="9">
        <v>3</v>
      </c>
      <c r="B5" s="9" t="s">
        <v>893</v>
      </c>
      <c r="C5" s="9">
        <v>1</v>
      </c>
      <c r="D5" s="9" t="s">
        <v>894</v>
      </c>
      <c r="E5" s="9" t="s">
        <v>889</v>
      </c>
      <c r="F5" s="9"/>
      <c r="G5" s="9"/>
      <c r="H5" s="11" t="str">
        <f>_xlfn.DISPIMG("ID_FBD75C37FB714A1CACC90A733D1FD071",1)</f>
        <v>=DISPIMG("ID_FBD75C37FB714A1CACC90A733D1FD071",1)</v>
      </c>
      <c r="I5" s="20" t="s">
        <v>895</v>
      </c>
    </row>
    <row r="6" s="1" customFormat="1" ht="82.65" spans="1:9">
      <c r="A6" s="9">
        <v>4</v>
      </c>
      <c r="B6" s="9" t="s">
        <v>896</v>
      </c>
      <c r="C6" s="9">
        <v>3</v>
      </c>
      <c r="D6" s="9" t="s">
        <v>897</v>
      </c>
      <c r="E6" s="9" t="s">
        <v>898</v>
      </c>
      <c r="F6" s="9"/>
      <c r="G6" s="9"/>
      <c r="H6" s="10" t="str">
        <f>_xlfn.DISPIMG("ID_DB9FEAC8BD3B43A89E38204A4E538A4E",1)</f>
        <v>=DISPIMG("ID_DB9FEAC8BD3B43A89E38204A4E538A4E",1)</v>
      </c>
      <c r="I6" s="20" t="s">
        <v>189</v>
      </c>
    </row>
    <row r="7" s="1" customFormat="1" ht="70.2" spans="1:9">
      <c r="A7" s="9">
        <v>5</v>
      </c>
      <c r="B7" s="9" t="s">
        <v>36</v>
      </c>
      <c r="C7" s="9">
        <v>13</v>
      </c>
      <c r="D7" s="9" t="s">
        <v>899</v>
      </c>
      <c r="E7" s="9" t="s">
        <v>892</v>
      </c>
      <c r="F7" s="9"/>
      <c r="G7" s="9"/>
      <c r="H7" s="10" t="str">
        <f>_xlfn.DISPIMG("ID_6F420B90F5744C66994B8EC5C47C7CB1",1)</f>
        <v>=DISPIMG("ID_6F420B90F5744C66994B8EC5C47C7CB1",1)</v>
      </c>
      <c r="I7" s="20" t="s">
        <v>39</v>
      </c>
    </row>
    <row r="8" s="1" customFormat="1" ht="79.2" spans="1:9">
      <c r="A8" s="9">
        <v>6</v>
      </c>
      <c r="B8" s="9" t="s">
        <v>900</v>
      </c>
      <c r="C8" s="9">
        <v>19</v>
      </c>
      <c r="D8" s="9" t="s">
        <v>891</v>
      </c>
      <c r="E8" s="9" t="s">
        <v>901</v>
      </c>
      <c r="F8" s="9"/>
      <c r="G8" s="9"/>
      <c r="H8" s="10" t="str">
        <f>_xlfn.DISPIMG("ID_7459D47214924B03B25B5A2A28289C20",1)</f>
        <v>=DISPIMG("ID_7459D47214924B03B25B5A2A28289C20",1)</v>
      </c>
      <c r="I8" s="13" t="s">
        <v>189</v>
      </c>
    </row>
    <row r="9" s="1" customFormat="1" ht="87.75" spans="1:9">
      <c r="A9" s="9">
        <v>7</v>
      </c>
      <c r="B9" s="12" t="s">
        <v>902</v>
      </c>
      <c r="C9" s="12">
        <v>1</v>
      </c>
      <c r="D9" s="9" t="s">
        <v>891</v>
      </c>
      <c r="E9" s="12" t="s">
        <v>702</v>
      </c>
      <c r="F9" s="12"/>
      <c r="G9" s="12"/>
      <c r="H9" s="10" t="str">
        <f>_xlfn.DISPIMG("ID_6E831B11FECB4419AD2747218059CBA8",1)</f>
        <v>=DISPIMG("ID_6E831B11FECB4419AD2747218059CBA8",1)</v>
      </c>
      <c r="I9" s="13"/>
    </row>
    <row r="10" s="1" customFormat="1" ht="78.1" spans="1:9">
      <c r="A10" s="9">
        <v>8</v>
      </c>
      <c r="B10" s="12" t="s">
        <v>903</v>
      </c>
      <c r="C10" s="12">
        <v>1</v>
      </c>
      <c r="D10" s="12" t="s">
        <v>904</v>
      </c>
      <c r="E10" s="12" t="s">
        <v>702</v>
      </c>
      <c r="F10" s="12"/>
      <c r="G10" s="12"/>
      <c r="H10" s="10" t="str">
        <f>_xlfn.DISPIMG("ID_3B6C724F2C634FA6A69BEA6B9DABC6A7",1)</f>
        <v>=DISPIMG("ID_3B6C724F2C634FA6A69BEA6B9DABC6A7",1)</v>
      </c>
      <c r="I10" s="13"/>
    </row>
    <row r="11" s="1" customFormat="1" ht="77.55" spans="1:9">
      <c r="A11" s="9">
        <v>9</v>
      </c>
      <c r="B11" s="12" t="s">
        <v>186</v>
      </c>
      <c r="C11" s="12">
        <v>6</v>
      </c>
      <c r="D11" s="12" t="s">
        <v>905</v>
      </c>
      <c r="E11" s="12" t="s">
        <v>34</v>
      </c>
      <c r="F11" s="12"/>
      <c r="G11" s="12"/>
      <c r="H11" s="10" t="str">
        <f>_xlfn.DISPIMG("ID_116F030430CA406E938CF15F1A57911F",1)</f>
        <v>=DISPIMG("ID_116F030430CA406E938CF15F1A57911F",1)</v>
      </c>
      <c r="I11" s="20" t="s">
        <v>61</v>
      </c>
    </row>
    <row r="12" s="1" customFormat="1" ht="73.2" spans="1:9">
      <c r="A12" s="9">
        <v>10</v>
      </c>
      <c r="B12" s="12" t="s">
        <v>66</v>
      </c>
      <c r="C12" s="12">
        <v>2</v>
      </c>
      <c r="D12" s="12" t="s">
        <v>906</v>
      </c>
      <c r="E12" s="12" t="s">
        <v>34</v>
      </c>
      <c r="F12" s="12"/>
      <c r="G12" s="12"/>
      <c r="H12" s="10" t="str">
        <f>_xlfn.DISPIMG("ID_DAAB1E22C0BB414C9381E8C618ECDB7B",1)</f>
        <v>=DISPIMG("ID_DAAB1E22C0BB414C9381E8C618ECDB7B",1)</v>
      </c>
      <c r="I12" s="20" t="s">
        <v>69</v>
      </c>
    </row>
    <row r="13" s="1" customFormat="1" ht="122.2" spans="1:9">
      <c r="A13" s="9">
        <v>11</v>
      </c>
      <c r="B13" s="9" t="s">
        <v>36</v>
      </c>
      <c r="C13" s="9">
        <v>13</v>
      </c>
      <c r="D13" s="9" t="s">
        <v>167</v>
      </c>
      <c r="E13" s="13" t="s">
        <v>907</v>
      </c>
      <c r="F13" s="9"/>
      <c r="G13" s="9"/>
      <c r="H13" s="11" t="str">
        <f>_xlfn.DISPIMG("ID_0614A9A9E4E74A9F92AAAB1A7CB6D78D",1)</f>
        <v>=DISPIMG("ID_0614A9A9E4E74A9F92AAAB1A7CB6D78D",1)</v>
      </c>
      <c r="I13" s="20" t="s">
        <v>39</v>
      </c>
    </row>
    <row r="14" s="1" customFormat="1" ht="84" customHeight="1" spans="1:9">
      <c r="A14" s="9">
        <v>12</v>
      </c>
      <c r="B14" s="9" t="s">
        <v>159</v>
      </c>
      <c r="C14" s="9">
        <v>1</v>
      </c>
      <c r="D14" s="9" t="s">
        <v>908</v>
      </c>
      <c r="E14" s="9" t="s">
        <v>909</v>
      </c>
      <c r="F14" s="9"/>
      <c r="G14" s="9"/>
      <c r="H14" s="11" t="str">
        <f>_xlfn.DISPIMG("ID_B7DC47E1E1AF4E9593021A8E048881F9",1)</f>
        <v>=DISPIMG("ID_B7DC47E1E1AF4E9593021A8E048881F9",1)</v>
      </c>
      <c r="I14" s="20" t="s">
        <v>189</v>
      </c>
    </row>
    <row r="15" s="1" customFormat="1" ht="84" customHeight="1" spans="1:9">
      <c r="A15" s="9">
        <v>13</v>
      </c>
      <c r="B15" s="9" t="s">
        <v>910</v>
      </c>
      <c r="C15" s="9">
        <v>1</v>
      </c>
      <c r="D15" s="9" t="s">
        <v>911</v>
      </c>
      <c r="E15" s="13" t="s">
        <v>912</v>
      </c>
      <c r="F15" s="9"/>
      <c r="G15" s="9"/>
      <c r="H15" s="11" t="str">
        <f>_xlfn.DISPIMG("ID_160C0DE8BFCA4DF9BCC80572E2FB83A6",1)</f>
        <v>=DISPIMG("ID_160C0DE8BFCA4DF9BCC80572E2FB83A6",1)</v>
      </c>
      <c r="I15" s="20" t="s">
        <v>189</v>
      </c>
    </row>
    <row r="16" s="1" customFormat="1" ht="84" customHeight="1" spans="1:9">
      <c r="A16" s="9">
        <v>14</v>
      </c>
      <c r="B16" s="12" t="s">
        <v>913</v>
      </c>
      <c r="C16" s="12">
        <v>1</v>
      </c>
      <c r="D16" s="14" t="s">
        <v>914</v>
      </c>
      <c r="E16" s="14" t="s">
        <v>915</v>
      </c>
      <c r="F16" s="12"/>
      <c r="G16" s="12"/>
      <c r="H16" s="15" t="str">
        <f>_xlfn.DISPIMG("ID_2E5F8C67789D4E9499F9AD81F5CD00D0",1)</f>
        <v>=DISPIMG("ID_2E5F8C67789D4E9499F9AD81F5CD00D0",1)</v>
      </c>
      <c r="I16" s="20" t="s">
        <v>895</v>
      </c>
    </row>
    <row r="17" s="1" customFormat="1" ht="25" customHeight="1" spans="1:9">
      <c r="A17" s="6" t="s">
        <v>86</v>
      </c>
      <c r="B17" s="9"/>
      <c r="C17" s="9"/>
      <c r="D17" s="9"/>
      <c r="E17" s="9"/>
      <c r="F17" s="9"/>
      <c r="G17" s="9"/>
      <c r="H17" s="9"/>
      <c r="I17" s="20"/>
    </row>
    <row r="18" s="1" customFormat="1" ht="18.75" customHeight="1" spans="1:9">
      <c r="A18" s="16"/>
      <c r="B18" s="16"/>
      <c r="C18" s="16"/>
      <c r="D18" s="16"/>
      <c r="E18" s="16"/>
      <c r="F18" s="16"/>
      <c r="G18" s="16"/>
      <c r="H18" s="17"/>
      <c r="I18" s="3"/>
    </row>
    <row r="19" s="1" customFormat="1" ht="18.75" customHeight="1" spans="1:9">
      <c r="A19" s="16"/>
      <c r="B19" s="16"/>
      <c r="C19" s="16"/>
      <c r="D19" s="16"/>
      <c r="E19" s="16"/>
      <c r="F19" s="16"/>
      <c r="G19" s="16"/>
      <c r="H19" s="17"/>
      <c r="I19" s="3"/>
    </row>
    <row r="20" s="1" customFormat="1" spans="1:9">
      <c r="A20" s="16"/>
      <c r="B20" s="16"/>
      <c r="C20" s="16"/>
      <c r="D20" s="16"/>
      <c r="E20" s="16"/>
      <c r="F20" s="16"/>
      <c r="G20" s="16"/>
      <c r="H20" s="17"/>
      <c r="I20" s="3"/>
    </row>
    <row r="21" s="1" customFormat="1" spans="1:9">
      <c r="A21" s="16"/>
      <c r="B21" s="16"/>
      <c r="C21" s="16"/>
      <c r="D21" s="16"/>
      <c r="E21" s="16"/>
      <c r="F21" s="16"/>
      <c r="G21" s="16"/>
      <c r="H21" s="17"/>
      <c r="I21" s="3"/>
    </row>
    <row r="22" s="1" customFormat="1" spans="1:9">
      <c r="A22" s="16"/>
      <c r="B22" s="16"/>
      <c r="C22" s="16"/>
      <c r="D22" s="16"/>
      <c r="E22" s="16"/>
      <c r="F22" s="16"/>
      <c r="G22" s="16"/>
      <c r="H22" s="17"/>
      <c r="I22" s="3"/>
    </row>
    <row r="23" s="1" customFormat="1" spans="1:9">
      <c r="A23" s="16"/>
      <c r="B23" s="16"/>
      <c r="C23" s="16"/>
      <c r="D23" s="16"/>
      <c r="E23" s="16"/>
      <c r="F23" s="16"/>
      <c r="G23" s="16"/>
      <c r="H23" s="17"/>
      <c r="I23" s="3"/>
    </row>
    <row r="24" s="1" customFormat="1" spans="1:9">
      <c r="A24" s="16"/>
      <c r="B24" s="16"/>
      <c r="C24" s="16"/>
      <c r="D24" s="16"/>
      <c r="E24" s="16"/>
      <c r="F24" s="16"/>
      <c r="G24" s="16"/>
      <c r="H24" s="17"/>
      <c r="I24" s="3"/>
    </row>
    <row r="25" s="1" customFormat="1" spans="1:9">
      <c r="A25" s="16"/>
      <c r="B25" s="16"/>
      <c r="C25" s="16"/>
      <c r="D25" s="16"/>
      <c r="E25" s="16"/>
      <c r="F25" s="16"/>
      <c r="G25" s="16"/>
      <c r="H25" s="17"/>
      <c r="I25" s="3"/>
    </row>
    <row r="26" s="1" customFormat="1" spans="1:9">
      <c r="A26" s="16"/>
      <c r="B26" s="16"/>
      <c r="C26" s="16"/>
      <c r="D26" s="16"/>
      <c r="E26" s="16"/>
      <c r="F26" s="16"/>
      <c r="G26" s="16"/>
      <c r="H26" s="17"/>
      <c r="I26" s="3"/>
    </row>
    <row r="27" s="1" customFormat="1" spans="1:9">
      <c r="A27" s="16"/>
      <c r="B27" s="16"/>
      <c r="C27" s="16"/>
      <c r="D27" s="16"/>
      <c r="E27" s="16"/>
      <c r="F27" s="16"/>
      <c r="G27" s="16"/>
      <c r="H27" s="17"/>
      <c r="I27" s="3"/>
    </row>
    <row r="28" s="1" customFormat="1" spans="1:9">
      <c r="A28" s="16"/>
      <c r="B28" s="16"/>
      <c r="C28" s="16"/>
      <c r="D28" s="16"/>
      <c r="E28" s="16"/>
      <c r="F28" s="16"/>
      <c r="G28" s="16"/>
      <c r="H28" s="17"/>
      <c r="I28" s="3"/>
    </row>
    <row r="29" s="1" customFormat="1" spans="1:9">
      <c r="A29" s="16"/>
      <c r="B29" s="16"/>
      <c r="C29" s="16"/>
      <c r="D29" s="16"/>
      <c r="E29" s="16"/>
      <c r="F29" s="16"/>
      <c r="G29" s="16"/>
      <c r="H29" s="17"/>
      <c r="I29" s="3"/>
    </row>
    <row r="30" s="1" customFormat="1" spans="1:9">
      <c r="A30" s="16"/>
      <c r="B30" s="16"/>
      <c r="C30" s="16"/>
      <c r="D30" s="16"/>
      <c r="E30" s="16"/>
      <c r="F30" s="16"/>
      <c r="G30" s="16"/>
      <c r="H30" s="17"/>
      <c r="I30" s="3"/>
    </row>
    <row r="31" s="1" customFormat="1" spans="1:9">
      <c r="A31" s="16"/>
      <c r="B31" s="16"/>
      <c r="C31" s="16"/>
      <c r="D31" s="16"/>
      <c r="E31" s="16"/>
      <c r="F31" s="16"/>
      <c r="G31" s="16"/>
      <c r="H31" s="17"/>
      <c r="I31" s="3"/>
    </row>
    <row r="32" s="1" customFormat="1" spans="1:9">
      <c r="A32" s="16"/>
      <c r="B32" s="16"/>
      <c r="C32" s="16"/>
      <c r="D32" s="16"/>
      <c r="E32" s="16"/>
      <c r="F32" s="16"/>
      <c r="G32" s="16"/>
      <c r="H32" s="17"/>
      <c r="I32" s="3"/>
    </row>
    <row r="33" s="1" customFormat="1" spans="1:9">
      <c r="A33" s="16"/>
      <c r="B33" s="16"/>
      <c r="C33" s="16"/>
      <c r="D33" s="16"/>
      <c r="E33" s="16"/>
      <c r="F33" s="16"/>
      <c r="G33" s="16"/>
      <c r="H33" s="17"/>
      <c r="I33" s="3"/>
    </row>
    <row r="34" s="1" customFormat="1" spans="1:9">
      <c r="A34" s="16"/>
      <c r="B34" s="16"/>
      <c r="C34" s="16"/>
      <c r="D34" s="16"/>
      <c r="E34" s="16"/>
      <c r="F34" s="16"/>
      <c r="G34" s="16"/>
      <c r="H34" s="17"/>
      <c r="I34" s="3"/>
    </row>
    <row r="35" s="1" customFormat="1" spans="1:9">
      <c r="A35" s="16"/>
      <c r="B35" s="16"/>
      <c r="C35" s="16"/>
      <c r="D35" s="16"/>
      <c r="E35" s="16"/>
      <c r="F35" s="16"/>
      <c r="G35" s="16"/>
      <c r="H35" s="17"/>
      <c r="I35" s="3"/>
    </row>
    <row r="36" s="1" customFormat="1" spans="1:9">
      <c r="A36" s="16"/>
      <c r="B36" s="16"/>
      <c r="C36" s="16"/>
      <c r="D36" s="16"/>
      <c r="E36" s="16"/>
      <c r="F36" s="16"/>
      <c r="G36" s="16"/>
      <c r="H36" s="17"/>
      <c r="I36" s="3"/>
    </row>
    <row r="37" s="1" customFormat="1" spans="1:9">
      <c r="A37" s="16"/>
      <c r="B37" s="16"/>
      <c r="C37" s="16"/>
      <c r="D37" s="16"/>
      <c r="E37" s="16"/>
      <c r="F37" s="16"/>
      <c r="G37" s="16"/>
      <c r="H37" s="17"/>
      <c r="I37" s="3"/>
    </row>
    <row r="38" s="1" customFormat="1" spans="1:9">
      <c r="A38" s="2"/>
      <c r="B38" s="2"/>
      <c r="C38" s="2"/>
      <c r="D38" s="2"/>
      <c r="E38" s="2"/>
      <c r="F38" s="2"/>
      <c r="G38" s="2"/>
      <c r="I38" s="3"/>
    </row>
    <row r="39" s="1" customFormat="1" spans="1:9">
      <c r="A39" s="2"/>
      <c r="B39" s="2"/>
      <c r="C39" s="2"/>
      <c r="D39" s="2"/>
      <c r="E39" s="2"/>
      <c r="F39" s="2"/>
      <c r="G39" s="2"/>
      <c r="I39" s="3"/>
    </row>
    <row r="40" s="1" customFormat="1" spans="1:9">
      <c r="A40" s="2"/>
      <c r="B40" s="2"/>
      <c r="C40" s="2"/>
      <c r="D40" s="2"/>
      <c r="E40" s="2"/>
      <c r="F40" s="2"/>
      <c r="G40" s="2"/>
      <c r="I40" s="3"/>
    </row>
    <row r="41" s="1" customFormat="1" spans="1:9">
      <c r="A41" s="2"/>
      <c r="B41" s="2"/>
      <c r="C41" s="2"/>
      <c r="D41" s="2"/>
      <c r="E41" s="2"/>
      <c r="F41" s="2"/>
      <c r="G41" s="2"/>
      <c r="I41" s="3"/>
    </row>
    <row r="42" s="1" customFormat="1" spans="1:9">
      <c r="A42" s="2"/>
      <c r="B42" s="2"/>
      <c r="C42" s="2"/>
      <c r="D42" s="2"/>
      <c r="E42" s="2"/>
      <c r="F42" s="2"/>
      <c r="G42" s="2"/>
      <c r="I42" s="3"/>
    </row>
    <row r="43" s="1" customFormat="1" spans="1:9">
      <c r="A43" s="2"/>
      <c r="B43" s="2"/>
      <c r="C43" s="2"/>
      <c r="D43" s="2"/>
      <c r="E43" s="2"/>
      <c r="F43" s="2"/>
      <c r="G43" s="2"/>
      <c r="I43" s="3"/>
    </row>
    <row r="44" s="1" customFormat="1" spans="1:9">
      <c r="A44" s="2"/>
      <c r="B44" s="2"/>
      <c r="C44" s="2"/>
      <c r="D44" s="2"/>
      <c r="E44" s="2"/>
      <c r="F44" s="2"/>
      <c r="G44" s="2"/>
      <c r="I44" s="3"/>
    </row>
    <row r="45" s="1" customFormat="1" spans="1:9">
      <c r="A45" s="2"/>
      <c r="B45" s="2"/>
      <c r="C45" s="2"/>
      <c r="D45" s="2"/>
      <c r="E45" s="2"/>
      <c r="F45" s="2"/>
      <c r="G45" s="2"/>
      <c r="I45" s="3"/>
    </row>
    <row r="46" s="1" customFormat="1" spans="1:9">
      <c r="A46" s="2"/>
      <c r="B46" s="2"/>
      <c r="C46" s="2"/>
      <c r="D46" s="2"/>
      <c r="E46" s="2"/>
      <c r="F46" s="2"/>
      <c r="G46" s="2"/>
      <c r="I46" s="3"/>
    </row>
    <row r="47" s="1" customFormat="1" spans="1:9">
      <c r="A47" s="2"/>
      <c r="B47" s="2"/>
      <c r="C47" s="2"/>
      <c r="D47" s="2"/>
      <c r="E47" s="2"/>
      <c r="F47" s="2"/>
      <c r="G47" s="2"/>
      <c r="I47" s="3"/>
    </row>
    <row r="48" s="1" customFormat="1" spans="1:9">
      <c r="A48" s="2"/>
      <c r="B48" s="2"/>
      <c r="C48" s="2"/>
      <c r="D48" s="2"/>
      <c r="E48" s="2"/>
      <c r="F48" s="2"/>
      <c r="G48" s="2"/>
      <c r="I48" s="3"/>
    </row>
  </sheetData>
  <mergeCells count="3">
    <mergeCell ref="A1:I1"/>
    <mergeCell ref="B17:H17"/>
    <mergeCell ref="I8:I10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17</vt:i4>
      </vt:variant>
    </vt:vector>
  </HeadingPairs>
  <TitlesOfParts>
    <vt:vector size="17" baseType="lpstr">
      <vt:lpstr>院（部）汇总</vt:lpstr>
      <vt:lpstr>光明眼科学院</vt:lpstr>
      <vt:lpstr>护理学院</vt:lpstr>
      <vt:lpstr>基础医学院</vt:lpstr>
      <vt:lpstr>健康管理学院</vt:lpstr>
      <vt:lpstr>康复医学院</vt:lpstr>
      <vt:lpstr>口腔技术学院</vt:lpstr>
      <vt:lpstr>临床学院</vt:lpstr>
      <vt:lpstr>马克思主义学院</vt:lpstr>
      <vt:lpstr>实验教学中心</vt:lpstr>
      <vt:lpstr>体育部</vt:lpstr>
      <vt:lpstr>外国语学院</vt:lpstr>
      <vt:lpstr>药学院</vt:lpstr>
      <vt:lpstr>医学检验学院</vt:lpstr>
      <vt:lpstr>医学影像学院</vt:lpstr>
      <vt:lpstr>医工学院</vt:lpstr>
      <vt:lpstr>生科院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孙浩「每日一案」</cp:lastModifiedBy>
  <dcterms:created xsi:type="dcterms:W3CDTF">2023-05-12T11:15:00Z</dcterms:created>
  <dcterms:modified xsi:type="dcterms:W3CDTF">2025-04-27T08:26:23Z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4E4EFB7FDDE04C6EA308EDA3C948009F_13</vt:lpwstr>
  </property>
</Properties>
</file>